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600" windowWidth="18630" windowHeight="6450" tabRatio="827" activeTab="8"/>
  </bookViews>
  <sheets>
    <sheet name="09-2018" sheetId="23" r:id="rId1"/>
    <sheet name="etranger" sheetId="3" r:id="rId2"/>
    <sheet name="CMT" sheetId="5" r:id="rId3"/>
    <sheet name="EXPORT" sheetId="1" r:id="rId4"/>
    <sheet name="FED" sheetId="6" r:id="rId5"/>
    <sheet name="PLOMB LOCAL" sheetId="25" r:id="rId6"/>
    <sheet name="AUTRE FACTURE" sheetId="30" r:id="rId7"/>
    <sheet name="CT" sheetId="33" r:id="rId8"/>
    <sheet name="TR" sheetId="34" r:id="rId9"/>
    <sheet name="SNA" sheetId="35" r:id="rId10"/>
    <sheet name="STA" sheetId="36" r:id="rId11"/>
    <sheet name="SND" sheetId="37" r:id="rId12"/>
    <sheet name="TIP" sheetId="38" r:id="rId13"/>
    <sheet name="HEMP" sheetId="32" state="hidden" r:id="rId14"/>
    <sheet name="Feuil1" sheetId="39" r:id="rId15"/>
  </sheets>
  <definedNames>
    <definedName name="_xlnm._FilterDatabase" localSheetId="3" hidden="1">EXPORT!$A$1:$A$169</definedName>
    <definedName name="_xlnm.Print_Area" localSheetId="0">'09-2018'!$A$1:$L$72</definedName>
    <definedName name="_xlnm.Print_Area" localSheetId="2">CMT!$B$13:$G$51</definedName>
    <definedName name="_xlnm.Print_Area" localSheetId="1">etranger!$A$20:$F$21</definedName>
    <definedName name="_xlnm.Print_Area" localSheetId="3">EXPORT!$A$2:$M$157</definedName>
    <definedName name="_xlnm.Print_Area" localSheetId="4">FED!$A$10:$H$11</definedName>
    <definedName name="_xlnm.Print_Area" localSheetId="13">HEMP!$A$13:$P$41</definedName>
    <definedName name="_xlnm.Print_Area" localSheetId="5">'PLOMB LOCAL'!$A$1:$H$79</definedName>
    <definedName name="_xlnm.Print_Area" localSheetId="9">SNA!$A$1:$K$11</definedName>
    <definedName name="_xlnm.Print_Area" localSheetId="11">SND!$A$1:$L$21</definedName>
  </definedNames>
  <calcPr calcId="125725"/>
</workbook>
</file>

<file path=xl/calcChain.xml><?xml version="1.0" encoding="utf-8"?>
<calcChain xmlns="http://schemas.openxmlformats.org/spreadsheetml/2006/main">
  <c r="C6" i="23"/>
  <c r="C5"/>
  <c r="K125" i="1"/>
  <c r="F31" i="39"/>
  <c r="G31" s="1"/>
  <c r="H31" s="1"/>
  <c r="F30"/>
  <c r="G30" s="1"/>
  <c r="F29"/>
  <c r="G29" s="1"/>
  <c r="F28"/>
  <c r="G28" s="1"/>
  <c r="H28" s="1"/>
  <c r="F27"/>
  <c r="G27" s="1"/>
  <c r="D26"/>
  <c r="F26" s="1"/>
  <c r="F25"/>
  <c r="F24"/>
  <c r="G24" s="1"/>
  <c r="F23"/>
  <c r="G23" s="1"/>
  <c r="F22"/>
  <c r="G22" s="1"/>
  <c r="F21"/>
  <c r="G21" s="1"/>
  <c r="F20"/>
  <c r="G20" s="1"/>
  <c r="F18"/>
  <c r="G18" s="1"/>
  <c r="F17"/>
  <c r="G17" s="1"/>
  <c r="F16"/>
  <c r="F15"/>
  <c r="G15" s="1"/>
  <c r="F13"/>
  <c r="G13" s="1"/>
  <c r="F12"/>
  <c r="F10"/>
  <c r="G10" s="1"/>
  <c r="F8"/>
  <c r="G8" s="1"/>
  <c r="F6"/>
  <c r="G6" s="1"/>
  <c r="F4"/>
  <c r="G4" s="1"/>
  <c r="F2"/>
  <c r="G2" s="1"/>
  <c r="H2" s="1"/>
  <c r="H22" i="25"/>
  <c r="H19"/>
  <c r="H18"/>
  <c r="H17"/>
  <c r="H16"/>
  <c r="H15"/>
  <c r="H14"/>
  <c r="H18" i="39" l="1"/>
  <c r="H29"/>
  <c r="H4"/>
  <c r="H21"/>
  <c r="H8"/>
  <c r="G12"/>
  <c r="H12" s="1"/>
  <c r="G16"/>
  <c r="H16" s="1"/>
  <c r="H23"/>
  <c r="G25"/>
  <c r="H25" s="1"/>
  <c r="G26"/>
  <c r="H26" s="1"/>
  <c r="H6"/>
  <c r="H13"/>
  <c r="H17"/>
  <c r="H22"/>
  <c r="H27"/>
  <c r="H30"/>
  <c r="H10"/>
  <c r="H15"/>
  <c r="H20"/>
  <c r="H24"/>
  <c r="H7" i="25" l="1"/>
  <c r="G7"/>
  <c r="F7"/>
  <c r="D7"/>
  <c r="F38"/>
  <c r="F45"/>
  <c r="H70"/>
  <c r="F60"/>
  <c r="H9"/>
  <c r="H5"/>
  <c r="G5"/>
  <c r="F5"/>
  <c r="D5"/>
  <c r="D45"/>
  <c r="K114" i="1"/>
  <c r="K113"/>
  <c r="G38" i="25" l="1"/>
  <c r="H38" s="1"/>
  <c r="G60"/>
  <c r="G45" s="1"/>
  <c r="H60" l="1"/>
  <c r="H45" s="1"/>
  <c r="K123" i="1"/>
  <c r="F133"/>
  <c r="M133"/>
  <c r="G133"/>
  <c r="F21" i="25"/>
  <c r="F37"/>
  <c r="F36"/>
  <c r="G21" l="1"/>
  <c r="H21" s="1"/>
  <c r="G37"/>
  <c r="H37" s="1"/>
  <c r="G36"/>
  <c r="H36" s="1"/>
  <c r="H66" l="1"/>
  <c r="G66"/>
  <c r="F66"/>
  <c r="D66"/>
  <c r="H77"/>
  <c r="G77"/>
  <c r="F77"/>
  <c r="G76"/>
  <c r="H76"/>
  <c r="H3"/>
  <c r="G3"/>
  <c r="F3"/>
  <c r="D4"/>
  <c r="D3"/>
  <c r="F35"/>
  <c r="F34"/>
  <c r="H34" s="1"/>
  <c r="G34"/>
  <c r="F76"/>
  <c r="L59" i="23"/>
  <c r="I15"/>
  <c r="I52"/>
  <c r="K15"/>
  <c r="I63"/>
  <c r="J24" i="36"/>
  <c r="F2"/>
  <c r="H2"/>
  <c r="F24"/>
  <c r="H24"/>
  <c r="M63" i="23"/>
  <c r="C58"/>
  <c r="G35" i="25" l="1"/>
  <c r="C63" i="23"/>
  <c r="C53"/>
  <c r="J14" i="37"/>
  <c r="J20"/>
  <c r="J21"/>
  <c r="J15"/>
  <c r="F14"/>
  <c r="H14"/>
  <c r="F20"/>
  <c r="H20"/>
  <c r="F21"/>
  <c r="H21"/>
  <c r="F15"/>
  <c r="H15"/>
  <c r="F63" i="23"/>
  <c r="F54"/>
  <c r="G41"/>
  <c r="G38"/>
  <c r="G46"/>
  <c r="G37"/>
  <c r="G18"/>
  <c r="F5"/>
  <c r="F53"/>
  <c r="C13"/>
  <c r="J2" i="35"/>
  <c r="J3"/>
  <c r="J4"/>
  <c r="J5"/>
  <c r="J6"/>
  <c r="J7"/>
  <c r="J8"/>
  <c r="J9"/>
  <c r="J10"/>
  <c r="J11"/>
  <c r="J12"/>
  <c r="J13"/>
  <c r="J14"/>
  <c r="J103"/>
  <c r="J104"/>
  <c r="J105"/>
  <c r="J15"/>
  <c r="J107"/>
  <c r="J108"/>
  <c r="F19"/>
  <c r="H19"/>
  <c r="F20"/>
  <c r="H20"/>
  <c r="F2"/>
  <c r="H2"/>
  <c r="F17"/>
  <c r="H17"/>
  <c r="F3"/>
  <c r="H3"/>
  <c r="F21"/>
  <c r="H21"/>
  <c r="F4"/>
  <c r="H4"/>
  <c r="F16"/>
  <c r="H16"/>
  <c r="F5"/>
  <c r="H5"/>
  <c r="F6"/>
  <c r="H6"/>
  <c r="F22"/>
  <c r="H22"/>
  <c r="F18"/>
  <c r="H18"/>
  <c r="F7"/>
  <c r="H7"/>
  <c r="F8"/>
  <c r="H8"/>
  <c r="F9"/>
  <c r="H9"/>
  <c r="F10"/>
  <c r="H10"/>
  <c r="F11"/>
  <c r="H11"/>
  <c r="F12"/>
  <c r="H12"/>
  <c r="F13"/>
  <c r="H13"/>
  <c r="F14"/>
  <c r="H14"/>
  <c r="F103"/>
  <c r="H103"/>
  <c r="F104"/>
  <c r="H104"/>
  <c r="F105"/>
  <c r="H105"/>
  <c r="F15"/>
  <c r="H15"/>
  <c r="F107"/>
  <c r="H107"/>
  <c r="F108"/>
  <c r="H108"/>
  <c r="F33" i="25"/>
  <c r="D32"/>
  <c r="F32" s="1"/>
  <c r="F31"/>
  <c r="F30"/>
  <c r="F15"/>
  <c r="F17"/>
  <c r="F4" l="1"/>
  <c r="G17"/>
  <c r="G4" s="1"/>
  <c r="H35"/>
  <c r="G32"/>
  <c r="H32" s="1"/>
  <c r="G33"/>
  <c r="H33" s="1"/>
  <c r="G31"/>
  <c r="H31" s="1"/>
  <c r="G30"/>
  <c r="H30" s="1"/>
  <c r="G15"/>
  <c r="F43" i="3"/>
  <c r="D43"/>
  <c r="C34"/>
  <c r="F30"/>
  <c r="F31"/>
  <c r="F32"/>
  <c r="D30"/>
  <c r="D31"/>
  <c r="D32"/>
  <c r="H4" i="25" l="1"/>
  <c r="F29"/>
  <c r="G29" s="1"/>
  <c r="F28"/>
  <c r="G28" s="1"/>
  <c r="F27"/>
  <c r="F26"/>
  <c r="F20"/>
  <c r="F19"/>
  <c r="D8" i="3"/>
  <c r="H17" i="38"/>
  <c r="F17"/>
  <c r="H16"/>
  <c r="F16"/>
  <c r="H15"/>
  <c r="F15"/>
  <c r="H14"/>
  <c r="F14"/>
  <c r="H13"/>
  <c r="F13"/>
  <c r="H12"/>
  <c r="F12"/>
  <c r="H11"/>
  <c r="F11"/>
  <c r="H10"/>
  <c r="F10"/>
  <c r="H9"/>
  <c r="F9"/>
  <c r="H8"/>
  <c r="F8"/>
  <c r="J5"/>
  <c r="H5"/>
  <c r="F5"/>
  <c r="J4"/>
  <c r="H4"/>
  <c r="F4"/>
  <c r="J3"/>
  <c r="H3"/>
  <c r="F3"/>
  <c r="J7"/>
  <c r="H7"/>
  <c r="F7"/>
  <c r="J2"/>
  <c r="H2"/>
  <c r="F2"/>
  <c r="J6"/>
  <c r="H6"/>
  <c r="F6"/>
  <c r="H31" i="37"/>
  <c r="F31"/>
  <c r="H30"/>
  <c r="F30"/>
  <c r="H29"/>
  <c r="F29"/>
  <c r="H28"/>
  <c r="F28"/>
  <c r="H27"/>
  <c r="F27"/>
  <c r="H26"/>
  <c r="F26"/>
  <c r="H25"/>
  <c r="F25"/>
  <c r="H24"/>
  <c r="F24"/>
  <c r="H23"/>
  <c r="F23"/>
  <c r="H22"/>
  <c r="F22"/>
  <c r="H19"/>
  <c r="F19"/>
  <c r="J13"/>
  <c r="H13"/>
  <c r="F13"/>
  <c r="J12"/>
  <c r="H12"/>
  <c r="F12"/>
  <c r="J11"/>
  <c r="H11"/>
  <c r="F11"/>
  <c r="J18"/>
  <c r="H18"/>
  <c r="F18"/>
  <c r="J17"/>
  <c r="H17"/>
  <c r="F17"/>
  <c r="J10"/>
  <c r="H10"/>
  <c r="F10"/>
  <c r="J9"/>
  <c r="H9"/>
  <c r="F9"/>
  <c r="J8"/>
  <c r="H8"/>
  <c r="F8"/>
  <c r="J7"/>
  <c r="H7"/>
  <c r="F7"/>
  <c r="J6"/>
  <c r="H6"/>
  <c r="F6"/>
  <c r="J16"/>
  <c r="H16"/>
  <c r="F16"/>
  <c r="J5"/>
  <c r="H5"/>
  <c r="F5"/>
  <c r="J4"/>
  <c r="H4"/>
  <c r="F4"/>
  <c r="J3"/>
  <c r="H3"/>
  <c r="F3"/>
  <c r="J2"/>
  <c r="H2"/>
  <c r="F2"/>
  <c r="H27" i="36"/>
  <c r="F27"/>
  <c r="H26"/>
  <c r="F26"/>
  <c r="H25"/>
  <c r="F25"/>
  <c r="H23"/>
  <c r="F23"/>
  <c r="H22"/>
  <c r="F22"/>
  <c r="J21"/>
  <c r="H21"/>
  <c r="F21"/>
  <c r="J20"/>
  <c r="H20"/>
  <c r="F20"/>
  <c r="J16"/>
  <c r="H16"/>
  <c r="F16"/>
  <c r="J15"/>
  <c r="H15"/>
  <c r="F15"/>
  <c r="H14"/>
  <c r="F14"/>
  <c r="J13"/>
  <c r="H13"/>
  <c r="F13"/>
  <c r="J12"/>
  <c r="H12"/>
  <c r="F12"/>
  <c r="J11"/>
  <c r="H11"/>
  <c r="F11"/>
  <c r="H10"/>
  <c r="F10"/>
  <c r="J9"/>
  <c r="H9"/>
  <c r="F9"/>
  <c r="H8"/>
  <c r="F8"/>
  <c r="J7"/>
  <c r="H7"/>
  <c r="F7"/>
  <c r="J6"/>
  <c r="H6"/>
  <c r="F6"/>
  <c r="J5"/>
  <c r="H5"/>
  <c r="F5"/>
  <c r="J4"/>
  <c r="H4"/>
  <c r="F4"/>
  <c r="J3"/>
  <c r="H3"/>
  <c r="F3"/>
  <c r="J19"/>
  <c r="H19"/>
  <c r="F19"/>
  <c r="J18"/>
  <c r="H18"/>
  <c r="F18"/>
  <c r="J17"/>
  <c r="H17"/>
  <c r="F17"/>
  <c r="H142" i="35"/>
  <c r="F142"/>
  <c r="H141"/>
  <c r="F141"/>
  <c r="H139"/>
  <c r="F139"/>
  <c r="H138"/>
  <c r="F138"/>
  <c r="H137"/>
  <c r="F137"/>
  <c r="H136"/>
  <c r="F136"/>
  <c r="H135"/>
  <c r="F135"/>
  <c r="H134"/>
  <c r="F134"/>
  <c r="H133"/>
  <c r="F133"/>
  <c r="H131"/>
  <c r="F131"/>
  <c r="H130"/>
  <c r="F130"/>
  <c r="H128"/>
  <c r="F128"/>
  <c r="H132"/>
  <c r="F132"/>
  <c r="H129"/>
  <c r="F129"/>
  <c r="H127"/>
  <c r="F127"/>
  <c r="H126"/>
  <c r="F126"/>
  <c r="H125"/>
  <c r="F125"/>
  <c r="H124"/>
  <c r="F124"/>
  <c r="H123"/>
  <c r="F123"/>
  <c r="H122"/>
  <c r="F122"/>
  <c r="H121"/>
  <c r="F121"/>
  <c r="H120"/>
  <c r="F120"/>
  <c r="H119"/>
  <c r="F119"/>
  <c r="H118"/>
  <c r="F118"/>
  <c r="H117"/>
  <c r="F117"/>
  <c r="H116"/>
  <c r="F116"/>
  <c r="H115"/>
  <c r="F115"/>
  <c r="H114"/>
  <c r="F114"/>
  <c r="H113"/>
  <c r="F113"/>
  <c r="H111"/>
  <c r="F111"/>
  <c r="H110"/>
  <c r="F110"/>
  <c r="H109"/>
  <c r="F109"/>
  <c r="H112"/>
  <c r="F112"/>
  <c r="H106"/>
  <c r="F106"/>
  <c r="J100"/>
  <c r="H100"/>
  <c r="F100"/>
  <c r="J99"/>
  <c r="H99"/>
  <c r="F99"/>
  <c r="J98"/>
  <c r="H98"/>
  <c r="F98"/>
  <c r="J97"/>
  <c r="H97"/>
  <c r="F97"/>
  <c r="H90"/>
  <c r="F90"/>
  <c r="H89"/>
  <c r="F89"/>
  <c r="J88"/>
  <c r="H88"/>
  <c r="F88"/>
  <c r="J86"/>
  <c r="H86"/>
  <c r="F86"/>
  <c r="J85"/>
  <c r="H85"/>
  <c r="F85"/>
  <c r="J87"/>
  <c r="H87"/>
  <c r="F87"/>
  <c r="J84"/>
  <c r="H84"/>
  <c r="F84"/>
  <c r="J82"/>
  <c r="H82"/>
  <c r="F82"/>
  <c r="J83"/>
  <c r="H83"/>
  <c r="F83"/>
  <c r="J80"/>
  <c r="H80"/>
  <c r="F80"/>
  <c r="H79"/>
  <c r="F79"/>
  <c r="H78"/>
  <c r="F78"/>
  <c r="J74"/>
  <c r="H74"/>
  <c r="F74"/>
  <c r="J73"/>
  <c r="H73"/>
  <c r="F73"/>
  <c r="J71"/>
  <c r="H71"/>
  <c r="F71"/>
  <c r="J70"/>
  <c r="H70"/>
  <c r="F70"/>
  <c r="H69"/>
  <c r="F69"/>
  <c r="H65"/>
  <c r="F65"/>
  <c r="H64"/>
  <c r="F64"/>
  <c r="H63"/>
  <c r="F63"/>
  <c r="H62"/>
  <c r="F62"/>
  <c r="H61"/>
  <c r="F61"/>
  <c r="J101"/>
  <c r="H101"/>
  <c r="F101"/>
  <c r="H48"/>
  <c r="F48"/>
  <c r="J47"/>
  <c r="H47"/>
  <c r="F47"/>
  <c r="H81"/>
  <c r="F81"/>
  <c r="J46"/>
  <c r="H46"/>
  <c r="F46"/>
  <c r="J45"/>
  <c r="H45"/>
  <c r="F45"/>
  <c r="J44"/>
  <c r="H44"/>
  <c r="F44"/>
  <c r="J43"/>
  <c r="H43"/>
  <c r="F43"/>
  <c r="J77"/>
  <c r="H77"/>
  <c r="F77"/>
  <c r="J76"/>
  <c r="H76"/>
  <c r="F76"/>
  <c r="J75"/>
  <c r="H75"/>
  <c r="F75"/>
  <c r="J42"/>
  <c r="H42"/>
  <c r="F42"/>
  <c r="J41"/>
  <c r="H41"/>
  <c r="F41"/>
  <c r="J72"/>
  <c r="H72"/>
  <c r="F72"/>
  <c r="J40"/>
  <c r="H40"/>
  <c r="F40"/>
  <c r="J39"/>
  <c r="H39"/>
  <c r="F39"/>
  <c r="J38"/>
  <c r="H38"/>
  <c r="F38"/>
  <c r="J37"/>
  <c r="H37"/>
  <c r="F37"/>
  <c r="J36"/>
  <c r="H36"/>
  <c r="F36"/>
  <c r="J35"/>
  <c r="H35"/>
  <c r="F35"/>
  <c r="J34"/>
  <c r="H34"/>
  <c r="F34"/>
  <c r="J33"/>
  <c r="H33"/>
  <c r="F33"/>
  <c r="J32"/>
  <c r="H32"/>
  <c r="F32"/>
  <c r="J31"/>
  <c r="H31"/>
  <c r="F31"/>
  <c r="J30"/>
  <c r="H30"/>
  <c r="F30"/>
  <c r="J29"/>
  <c r="H29"/>
  <c r="F29"/>
  <c r="J28"/>
  <c r="H28"/>
  <c r="F28"/>
  <c r="J27"/>
  <c r="H27"/>
  <c r="F27"/>
  <c r="J26"/>
  <c r="H26"/>
  <c r="F26"/>
  <c r="J25"/>
  <c r="H25"/>
  <c r="F25"/>
  <c r="J24"/>
  <c r="H24"/>
  <c r="F24"/>
  <c r="J23"/>
  <c r="H23"/>
  <c r="F23"/>
  <c r="H140"/>
  <c r="F140"/>
  <c r="H68"/>
  <c r="F68"/>
  <c r="H67"/>
  <c r="F67"/>
  <c r="H66"/>
  <c r="F66"/>
  <c r="J102"/>
  <c r="H102"/>
  <c r="F102"/>
  <c r="J96"/>
  <c r="H96"/>
  <c r="F96"/>
  <c r="J95"/>
  <c r="H95"/>
  <c r="F95"/>
  <c r="J60"/>
  <c r="H60"/>
  <c r="F60"/>
  <c r="J59"/>
  <c r="H59"/>
  <c r="F59"/>
  <c r="J94"/>
  <c r="H94"/>
  <c r="F94"/>
  <c r="J93"/>
  <c r="H93"/>
  <c r="F93"/>
  <c r="J92"/>
  <c r="H92"/>
  <c r="F92"/>
  <c r="J91"/>
  <c r="H91"/>
  <c r="F91"/>
  <c r="J58"/>
  <c r="H58"/>
  <c r="F58"/>
  <c r="J57"/>
  <c r="H57"/>
  <c r="F57"/>
  <c r="J56"/>
  <c r="H56"/>
  <c r="F56"/>
  <c r="J55"/>
  <c r="H55"/>
  <c r="F55"/>
  <c r="J54"/>
  <c r="H54"/>
  <c r="F54"/>
  <c r="J53"/>
  <c r="H53"/>
  <c r="F53"/>
  <c r="J52"/>
  <c r="H52"/>
  <c r="F52"/>
  <c r="J51"/>
  <c r="H51"/>
  <c r="F51"/>
  <c r="J50"/>
  <c r="H50"/>
  <c r="F50"/>
  <c r="J49"/>
  <c r="H49"/>
  <c r="F49"/>
  <c r="G20" i="25" l="1"/>
  <c r="H20"/>
  <c r="H29"/>
  <c r="G19"/>
  <c r="H28"/>
  <c r="G27"/>
  <c r="G26"/>
  <c r="H26" s="1"/>
  <c r="C10" i="23"/>
  <c r="H27" i="25" l="1"/>
  <c r="F132" i="1"/>
  <c r="M132"/>
  <c r="G132"/>
  <c r="F53" i="25"/>
  <c r="F54"/>
  <c r="F55"/>
  <c r="G55" s="1"/>
  <c r="H55" s="1"/>
  <c r="F56"/>
  <c r="G56" s="1"/>
  <c r="H56" s="1"/>
  <c r="B164" i="1"/>
  <c r="C164"/>
  <c r="K30"/>
  <c r="K26"/>
  <c r="F25" i="25"/>
  <c r="F24"/>
  <c r="F23"/>
  <c r="K120" i="1"/>
  <c r="F75" i="25"/>
  <c r="G53" l="1"/>
  <c r="H53" s="1"/>
  <c r="G54"/>
  <c r="H54" s="1"/>
  <c r="G75"/>
  <c r="H75" s="1"/>
  <c r="G25"/>
  <c r="H25" s="1"/>
  <c r="G24"/>
  <c r="H24" s="1"/>
  <c r="G23"/>
  <c r="H23" s="1"/>
  <c r="I10" i="23"/>
  <c r="F59" i="25" l="1"/>
  <c r="F58"/>
  <c r="K144" i="1"/>
  <c r="F22" i="25"/>
  <c r="G22" l="1"/>
  <c r="G59"/>
  <c r="H59" s="1"/>
  <c r="G58"/>
  <c r="H58" s="1"/>
  <c r="F57"/>
  <c r="B39" i="32"/>
  <c r="M34"/>
  <c r="G34"/>
  <c r="F34"/>
  <c r="M33"/>
  <c r="G33"/>
  <c r="F33"/>
  <c r="M32"/>
  <c r="G32"/>
  <c r="F32"/>
  <c r="M31"/>
  <c r="G31"/>
  <c r="F31"/>
  <c r="M30"/>
  <c r="G30"/>
  <c r="F30"/>
  <c r="M29"/>
  <c r="G29"/>
  <c r="F29"/>
  <c r="M20"/>
  <c r="G20"/>
  <c r="F20"/>
  <c r="M19"/>
  <c r="G19"/>
  <c r="F19"/>
  <c r="P18"/>
  <c r="M18"/>
  <c r="G18"/>
  <c r="F18"/>
  <c r="P17"/>
  <c r="M17"/>
  <c r="G17"/>
  <c r="F17"/>
  <c r="P16"/>
  <c r="M16"/>
  <c r="B38" s="1"/>
  <c r="G16"/>
  <c r="F16"/>
  <c r="E11"/>
  <c r="C10"/>
  <c r="C8"/>
  <c r="G57" i="25" l="1"/>
  <c r="B40" i="32"/>
  <c r="C11"/>
  <c r="B41"/>
  <c r="H57" i="25" l="1"/>
  <c r="F74"/>
  <c r="G5" i="30"/>
  <c r="H5" s="1"/>
  <c r="G4"/>
  <c r="H4" s="1"/>
  <c r="O2"/>
  <c r="P2" s="1"/>
  <c r="G2"/>
  <c r="H2" s="1"/>
  <c r="Q43" i="23"/>
  <c r="G44"/>
  <c r="H49" i="25" l="1"/>
  <c r="Q2" i="30"/>
  <c r="R2"/>
  <c r="G74" i="25"/>
  <c r="I4" i="30"/>
  <c r="J4" s="1"/>
  <c r="J7" s="1"/>
  <c r="I5"/>
  <c r="J5" s="1"/>
  <c r="F68" i="23"/>
  <c r="F18" i="25"/>
  <c r="F43" i="5"/>
  <c r="G42"/>
  <c r="F73" i="25"/>
  <c r="F16"/>
  <c r="F131" i="1"/>
  <c r="M131"/>
  <c r="G131"/>
  <c r="F130"/>
  <c r="M130"/>
  <c r="G130"/>
  <c r="S2" i="30" l="1"/>
  <c r="H74" i="25"/>
  <c r="G18"/>
  <c r="G73"/>
  <c r="G16"/>
  <c r="K118" i="1"/>
  <c r="F14" i="25"/>
  <c r="H73" l="1"/>
  <c r="G14"/>
  <c r="F48" i="23" l="1"/>
  <c r="C81" i="3"/>
  <c r="C53" l="1"/>
  <c r="K111" i="1" l="1"/>
  <c r="F128" l="1"/>
  <c r="M128"/>
  <c r="G128"/>
  <c r="F129"/>
  <c r="M129"/>
  <c r="G129"/>
  <c r="M119"/>
  <c r="K28" l="1"/>
  <c r="K79"/>
  <c r="F127" l="1"/>
  <c r="M127"/>
  <c r="G127"/>
  <c r="H15" i="23" l="1"/>
  <c r="F14"/>
  <c r="Q33"/>
  <c r="Q14"/>
  <c r="G34"/>
  <c r="C78" i="3"/>
  <c r="F36"/>
  <c r="D36"/>
  <c r="C37"/>
  <c r="C47"/>
  <c r="F29"/>
  <c r="D29"/>
  <c r="K94" i="1" l="1"/>
  <c r="K140"/>
  <c r="C69" i="3"/>
  <c r="F126" i="1"/>
  <c r="M126"/>
  <c r="G126"/>
  <c r="F13" i="25"/>
  <c r="G13" s="1"/>
  <c r="F124" i="1"/>
  <c r="M124"/>
  <c r="G124"/>
  <c r="F125"/>
  <c r="M125"/>
  <c r="G125"/>
  <c r="K109"/>
  <c r="B166" l="1"/>
  <c r="H13" i="25"/>
  <c r="C75" i="3" l="1"/>
  <c r="F51" i="5"/>
  <c r="G43"/>
  <c r="E43"/>
  <c r="G41"/>
  <c r="G33"/>
  <c r="F34"/>
  <c r="E34"/>
  <c r="F122" i="1"/>
  <c r="M122"/>
  <c r="G122"/>
  <c r="F121"/>
  <c r="H40" i="25" l="1"/>
  <c r="C44" i="3"/>
  <c r="C56"/>
  <c r="F28" l="1"/>
  <c r="F27"/>
  <c r="F26"/>
  <c r="D26"/>
  <c r="D27"/>
  <c r="D28"/>
  <c r="K108" i="1" l="1"/>
  <c r="F8" i="25" l="1"/>
  <c r="F69" s="1"/>
  <c r="F48"/>
  <c r="H48" l="1"/>
  <c r="G8"/>
  <c r="G48"/>
  <c r="G69"/>
  <c r="M121" i="1"/>
  <c r="G121"/>
  <c r="F123"/>
  <c r="M123"/>
  <c r="G123"/>
  <c r="D25" i="3"/>
  <c r="D24"/>
  <c r="D23"/>
  <c r="D22"/>
  <c r="F25"/>
  <c r="F24"/>
  <c r="F23"/>
  <c r="F22"/>
  <c r="M30" i="1"/>
  <c r="G30"/>
  <c r="F30"/>
  <c r="M29"/>
  <c r="G29"/>
  <c r="F29"/>
  <c r="K106"/>
  <c r="H8" i="25" l="1"/>
  <c r="H10" s="1"/>
  <c r="H50"/>
  <c r="H69"/>
  <c r="H71" s="1"/>
  <c r="G119" i="1"/>
  <c r="F120"/>
  <c r="M120"/>
  <c r="G120"/>
  <c r="G14" i="23" l="1"/>
  <c r="G9" s="1"/>
  <c r="E10"/>
  <c r="F9" l="1"/>
  <c r="K105" i="1"/>
  <c r="F118"/>
  <c r="M118"/>
  <c r="B165" s="1"/>
  <c r="G118"/>
  <c r="G48" i="23" l="1"/>
  <c r="F23" i="5" l="1"/>
  <c r="E23"/>
  <c r="E51" s="1"/>
  <c r="G22"/>
  <c r="M156" i="1"/>
  <c r="F156"/>
  <c r="G156"/>
  <c r="K104"/>
  <c r="M155" l="1"/>
  <c r="F155"/>
  <c r="G155"/>
  <c r="F117"/>
  <c r="M117"/>
  <c r="G117"/>
  <c r="F116" l="1"/>
  <c r="M116"/>
  <c r="B162" s="1"/>
  <c r="G116"/>
  <c r="F154" l="1"/>
  <c r="M154"/>
  <c r="G154"/>
  <c r="K102"/>
  <c r="F115" l="1"/>
  <c r="M115"/>
  <c r="G115"/>
  <c r="K67"/>
  <c r="L70" i="23"/>
  <c r="P10"/>
  <c r="F153" i="1"/>
  <c r="M153"/>
  <c r="G153"/>
  <c r="F28"/>
  <c r="M28"/>
  <c r="G28"/>
  <c r="K100"/>
  <c r="F114"/>
  <c r="M114"/>
  <c r="G114"/>
  <c r="F113"/>
  <c r="M113"/>
  <c r="G113"/>
  <c r="K23"/>
  <c r="F152"/>
  <c r="G152"/>
  <c r="M152"/>
  <c r="M151"/>
  <c r="F151"/>
  <c r="G151"/>
  <c r="F112"/>
  <c r="M112"/>
  <c r="G112"/>
  <c r="F111"/>
  <c r="M111"/>
  <c r="G111"/>
  <c r="B161" l="1"/>
  <c r="M27" l="1"/>
  <c r="G27"/>
  <c r="F27"/>
  <c r="K99" l="1"/>
  <c r="K24" l="1"/>
  <c r="K98"/>
  <c r="F110"/>
  <c r="M110"/>
  <c r="G110"/>
  <c r="M109" l="1"/>
  <c r="F109"/>
  <c r="G109"/>
  <c r="Q48" i="23"/>
  <c r="Q32"/>
  <c r="Q9"/>
  <c r="C41" i="3"/>
  <c r="M10" i="23" l="1"/>
  <c r="S4"/>
  <c r="R4"/>
  <c r="Q4"/>
  <c r="P4"/>
  <c r="O4"/>
  <c r="N4"/>
  <c r="M4"/>
  <c r="L4"/>
  <c r="K4"/>
  <c r="J4"/>
  <c r="I4"/>
  <c r="H4"/>
  <c r="G4"/>
  <c r="F4"/>
  <c r="E4"/>
  <c r="D4"/>
  <c r="C4"/>
  <c r="B4"/>
  <c r="Q71" l="1"/>
  <c r="K96" i="1"/>
  <c r="F150"/>
  <c r="M150"/>
  <c r="G150"/>
  <c r="F108"/>
  <c r="M108"/>
  <c r="G108"/>
  <c r="M26"/>
  <c r="G26"/>
  <c r="F26"/>
  <c r="F107" l="1"/>
  <c r="M107"/>
  <c r="G107"/>
  <c r="K21" l="1"/>
  <c r="K22"/>
  <c r="K92"/>
  <c r="F106" l="1"/>
  <c r="M106"/>
  <c r="G106"/>
  <c r="F105" l="1"/>
  <c r="M105"/>
  <c r="G105"/>
  <c r="F149"/>
  <c r="M149"/>
  <c r="G149"/>
  <c r="N10" i="23" l="1"/>
  <c r="J10"/>
  <c r="G70" l="1"/>
  <c r="S67" l="1"/>
  <c r="R67"/>
  <c r="P67"/>
  <c r="O67"/>
  <c r="N67"/>
  <c r="M67"/>
  <c r="L67"/>
  <c r="K67"/>
  <c r="J67"/>
  <c r="H67"/>
  <c r="G67"/>
  <c r="E67"/>
  <c r="C67"/>
  <c r="B67"/>
  <c r="S48"/>
  <c r="R48"/>
  <c r="P48"/>
  <c r="O48"/>
  <c r="N48"/>
  <c r="N32" s="1"/>
  <c r="M48"/>
  <c r="L48"/>
  <c r="K48"/>
  <c r="J48"/>
  <c r="J32" s="1"/>
  <c r="I48"/>
  <c r="H48"/>
  <c r="E48"/>
  <c r="D48"/>
  <c r="C48"/>
  <c r="C32" s="1"/>
  <c r="B48"/>
  <c r="S33"/>
  <c r="R33"/>
  <c r="P33"/>
  <c r="O33"/>
  <c r="N33"/>
  <c r="M33"/>
  <c r="L33"/>
  <c r="K33"/>
  <c r="J33"/>
  <c r="I33"/>
  <c r="H33"/>
  <c r="G33"/>
  <c r="F33"/>
  <c r="E33"/>
  <c r="D33"/>
  <c r="B33"/>
  <c r="S14"/>
  <c r="R14"/>
  <c r="P14"/>
  <c r="P9" s="1"/>
  <c r="O14"/>
  <c r="O9" s="1"/>
  <c r="N14"/>
  <c r="M14"/>
  <c r="M9" s="1"/>
  <c r="K14"/>
  <c r="K9" s="1"/>
  <c r="J14"/>
  <c r="I14"/>
  <c r="I9" s="1"/>
  <c r="H14"/>
  <c r="E14"/>
  <c r="D14"/>
  <c r="S9"/>
  <c r="R9"/>
  <c r="N9"/>
  <c r="J9"/>
  <c r="H9"/>
  <c r="E9"/>
  <c r="D9"/>
  <c r="C9"/>
  <c r="B9"/>
  <c r="S32" l="1"/>
  <c r="S71" s="1"/>
  <c r="P32"/>
  <c r="K32"/>
  <c r="O32"/>
  <c r="B32"/>
  <c r="E32"/>
  <c r="M32"/>
  <c r="R32"/>
  <c r="R71" s="1"/>
  <c r="H32"/>
  <c r="L32"/>
  <c r="G32"/>
  <c r="F104" i="1" l="1"/>
  <c r="M104"/>
  <c r="G104"/>
  <c r="F103" l="1"/>
  <c r="M103"/>
  <c r="G103"/>
  <c r="K95"/>
  <c r="F148" l="1"/>
  <c r="M148"/>
  <c r="G148"/>
  <c r="F102"/>
  <c r="M102"/>
  <c r="G102"/>
  <c r="K93"/>
  <c r="K91"/>
  <c r="C71" i="3" l="1"/>
  <c r="C72" s="1"/>
  <c r="M146" i="1" l="1"/>
  <c r="G146"/>
  <c r="F146"/>
  <c r="M147"/>
  <c r="G147"/>
  <c r="F147"/>
  <c r="C18" i="3"/>
  <c r="F101" i="1" l="1"/>
  <c r="M101"/>
  <c r="G101"/>
  <c r="K89"/>
  <c r="C15" i="3" l="1"/>
  <c r="K20" i="1" l="1"/>
  <c r="K18"/>
  <c r="K14"/>
  <c r="F25"/>
  <c r="M25"/>
  <c r="G25"/>
  <c r="K90"/>
  <c r="F145" l="1"/>
  <c r="G145"/>
  <c r="K87"/>
  <c r="K83"/>
  <c r="M145"/>
  <c r="B167" s="1"/>
  <c r="K88"/>
  <c r="K63" l="1"/>
  <c r="F144" l="1"/>
  <c r="M144"/>
  <c r="G144"/>
  <c r="F100" l="1"/>
  <c r="M100"/>
  <c r="G100"/>
  <c r="K86" l="1"/>
  <c r="F143"/>
  <c r="M143"/>
  <c r="G143"/>
  <c r="F99"/>
  <c r="M99"/>
  <c r="G99"/>
  <c r="M139"/>
  <c r="M140"/>
  <c r="M141"/>
  <c r="M142"/>
  <c r="M138"/>
  <c r="C12" i="3"/>
  <c r="F142" i="1"/>
  <c r="G142"/>
  <c r="D58" i="3"/>
  <c r="C61"/>
  <c r="F98" i="1" l="1"/>
  <c r="M98"/>
  <c r="G98"/>
  <c r="F6" i="5"/>
  <c r="F8" s="1"/>
  <c r="E6"/>
  <c r="E8" s="1"/>
  <c r="G5"/>
  <c r="G6" l="1"/>
  <c r="G8" l="1"/>
  <c r="I67" i="23"/>
  <c r="I32" s="1"/>
  <c r="G141" i="1"/>
  <c r="F141"/>
  <c r="G140"/>
  <c r="G139"/>
  <c r="G138"/>
  <c r="F140"/>
  <c r="F139"/>
  <c r="F138"/>
  <c r="D169"/>
  <c r="G48" i="5"/>
  <c r="K76" i="1" l="1"/>
  <c r="C9" i="3"/>
  <c r="F24" i="1"/>
  <c r="G24"/>
  <c r="M23" l="1"/>
  <c r="M24"/>
  <c r="G23"/>
  <c r="F23"/>
  <c r="F97"/>
  <c r="G97"/>
  <c r="F96"/>
  <c r="G96"/>
  <c r="K78"/>
  <c r="L14" i="23" l="1"/>
  <c r="L9" s="1"/>
  <c r="K85" i="1"/>
  <c r="G39" i="5"/>
  <c r="G29"/>
  <c r="K73" i="1" l="1"/>
  <c r="P71" i="23" l="1"/>
  <c r="G95" i="1"/>
  <c r="F95"/>
  <c r="G22"/>
  <c r="F22"/>
  <c r="M22"/>
  <c r="M97"/>
  <c r="B163" s="1"/>
  <c r="M96"/>
  <c r="K80"/>
  <c r="K59" l="1"/>
  <c r="K37" l="1"/>
  <c r="M94"/>
  <c r="M95"/>
  <c r="G94"/>
  <c r="F94"/>
  <c r="M21"/>
  <c r="G21"/>
  <c r="F21"/>
  <c r="G92" l="1"/>
  <c r="G93"/>
  <c r="F93"/>
  <c r="M93"/>
  <c r="F92"/>
  <c r="M92"/>
  <c r="G47" i="5" l="1"/>
  <c r="G28"/>
  <c r="G19"/>
  <c r="G20"/>
  <c r="G21"/>
  <c r="G38"/>
  <c r="K70" i="1" l="1"/>
  <c r="K66"/>
  <c r="G91"/>
  <c r="F91"/>
  <c r="M91"/>
  <c r="M20"/>
  <c r="G20"/>
  <c r="F20"/>
  <c r="G90" l="1"/>
  <c r="F90"/>
  <c r="M90"/>
  <c r="C50" i="3" l="1"/>
  <c r="M19" i="1"/>
  <c r="G19"/>
  <c r="F19"/>
  <c r="G89"/>
  <c r="F89"/>
  <c r="M89"/>
  <c r="G88" l="1"/>
  <c r="F88"/>
  <c r="M88"/>
  <c r="M18"/>
  <c r="G18"/>
  <c r="F18"/>
  <c r="K50"/>
  <c r="K17"/>
  <c r="G87" l="1"/>
  <c r="F87"/>
  <c r="M87"/>
  <c r="F49" i="5" l="1"/>
  <c r="E49"/>
  <c r="D67" i="23"/>
  <c r="D32" s="1"/>
  <c r="G46" i="5"/>
  <c r="G45"/>
  <c r="G44"/>
  <c r="F40"/>
  <c r="E40"/>
  <c r="G37"/>
  <c r="G36"/>
  <c r="G35"/>
  <c r="G32"/>
  <c r="G31"/>
  <c r="F30"/>
  <c r="E30"/>
  <c r="G27"/>
  <c r="G26"/>
  <c r="G25"/>
  <c r="G24"/>
  <c r="G18"/>
  <c r="G17"/>
  <c r="F16"/>
  <c r="E16"/>
  <c r="G15"/>
  <c r="G14"/>
  <c r="G30" l="1"/>
  <c r="G34"/>
  <c r="G16"/>
  <c r="G40"/>
  <c r="G49"/>
  <c r="G23"/>
  <c r="F67" i="23" l="1"/>
  <c r="F32" s="1"/>
  <c r="G51" i="5"/>
  <c r="G86" i="1"/>
  <c r="F86"/>
  <c r="M86"/>
  <c r="K16" l="1"/>
  <c r="G85" l="1"/>
  <c r="F85"/>
  <c r="M85"/>
  <c r="K12"/>
  <c r="K77" l="1"/>
  <c r="M17"/>
  <c r="G17"/>
  <c r="F17"/>
  <c r="G71" i="23" l="1"/>
  <c r="G84" i="1"/>
  <c r="F84"/>
  <c r="M84"/>
  <c r="C168" s="1"/>
  <c r="G16" l="1"/>
  <c r="F16"/>
  <c r="M16"/>
  <c r="G83"/>
  <c r="F83"/>
  <c r="M83"/>
  <c r="K74"/>
  <c r="K72" l="1"/>
  <c r="G82"/>
  <c r="F82"/>
  <c r="M82"/>
  <c r="G81" l="1"/>
  <c r="F81"/>
  <c r="M81"/>
  <c r="K57"/>
  <c r="K13"/>
  <c r="K49"/>
  <c r="G80" l="1"/>
  <c r="F80"/>
  <c r="M80"/>
  <c r="K60" l="1"/>
  <c r="K71"/>
  <c r="M79"/>
  <c r="G79"/>
  <c r="F79"/>
  <c r="M78"/>
  <c r="G78"/>
  <c r="F78"/>
  <c r="G76" l="1"/>
  <c r="F76"/>
  <c r="M76"/>
  <c r="F77"/>
  <c r="M77"/>
  <c r="G77"/>
  <c r="K68"/>
  <c r="K65" l="1"/>
  <c r="K55"/>
  <c r="H71" i="23" l="1"/>
  <c r="G75" i="1"/>
  <c r="F75"/>
  <c r="M75"/>
  <c r="E11" i="6" l="1"/>
  <c r="E8"/>
  <c r="M74" i="1"/>
  <c r="G74"/>
  <c r="F74"/>
  <c r="M73"/>
  <c r="G73"/>
  <c r="F73"/>
  <c r="M72"/>
  <c r="G72"/>
  <c r="F72" l="1"/>
  <c r="M71"/>
  <c r="G71"/>
  <c r="F71"/>
  <c r="M70"/>
  <c r="F70"/>
  <c r="M69"/>
  <c r="F69"/>
  <c r="M68"/>
  <c r="G68"/>
  <c r="F68"/>
  <c r="M67" l="1"/>
  <c r="G67"/>
  <c r="F67"/>
  <c r="M66"/>
  <c r="F66" l="1"/>
  <c r="M65"/>
  <c r="G65" l="1"/>
  <c r="F65"/>
  <c r="K64"/>
  <c r="M64" s="1"/>
  <c r="G64"/>
  <c r="F64"/>
  <c r="M63"/>
  <c r="B169" l="1"/>
  <c r="G63"/>
  <c r="F63"/>
  <c r="M62"/>
  <c r="G62"/>
  <c r="F62"/>
  <c r="M61"/>
  <c r="F61"/>
  <c r="M60"/>
  <c r="F60"/>
  <c r="M59"/>
  <c r="G59"/>
  <c r="F59"/>
  <c r="K58"/>
  <c r="M58" s="1"/>
  <c r="F58"/>
  <c r="M57"/>
  <c r="F57"/>
  <c r="M56"/>
  <c r="F56"/>
  <c r="M55"/>
  <c r="F55"/>
  <c r="M54"/>
  <c r="F54"/>
  <c r="M53"/>
  <c r="F53"/>
  <c r="M52"/>
  <c r="G52"/>
  <c r="F52" l="1"/>
  <c r="K51"/>
  <c r="M51" s="1"/>
  <c r="F51"/>
  <c r="M50"/>
  <c r="G50"/>
  <c r="F50"/>
  <c r="M49"/>
  <c r="G49"/>
  <c r="F49" l="1"/>
  <c r="K48"/>
  <c r="M48" s="1"/>
  <c r="G48"/>
  <c r="F48"/>
  <c r="M47"/>
  <c r="G47"/>
  <c r="F47"/>
  <c r="M46"/>
  <c r="G46"/>
  <c r="F46"/>
  <c r="M45"/>
  <c r="F45"/>
  <c r="M44"/>
  <c r="F44"/>
  <c r="K43"/>
  <c r="M43" s="1"/>
  <c r="F43"/>
  <c r="K42" l="1"/>
  <c r="M42" s="1"/>
  <c r="F42"/>
  <c r="M41"/>
  <c r="F41"/>
  <c r="K40"/>
  <c r="M40" s="1"/>
  <c r="F40"/>
  <c r="M39"/>
  <c r="K39"/>
  <c r="F39"/>
  <c r="M38"/>
  <c r="F38"/>
  <c r="M37"/>
  <c r="F37"/>
  <c r="K36" l="1"/>
  <c r="M36" s="1"/>
  <c r="F36"/>
  <c r="M35"/>
  <c r="G35"/>
  <c r="F35"/>
  <c r="M15"/>
  <c r="F15"/>
  <c r="M14"/>
  <c r="F14"/>
  <c r="M13"/>
  <c r="F13"/>
  <c r="M12"/>
  <c r="G12"/>
  <c r="F12"/>
  <c r="M11"/>
  <c r="G11"/>
  <c r="F11"/>
  <c r="K10"/>
  <c r="M10" s="1"/>
  <c r="C169" l="1"/>
  <c r="F10"/>
  <c r="M9"/>
  <c r="G9"/>
  <c r="F9"/>
  <c r="K8"/>
  <c r="M8" s="1"/>
  <c r="F8"/>
  <c r="M7"/>
  <c r="G7"/>
  <c r="F7"/>
  <c r="M6"/>
  <c r="F6"/>
  <c r="M5"/>
  <c r="F5"/>
  <c r="K4"/>
  <c r="M4" s="1"/>
  <c r="J4"/>
  <c r="F4"/>
  <c r="A1" i="3" l="1"/>
  <c r="O71" i="23" l="1"/>
  <c r="N71" l="1"/>
  <c r="M71"/>
  <c r="I71" l="1"/>
  <c r="I74" s="1"/>
  <c r="D71"/>
  <c r="F71" l="1"/>
  <c r="F74" s="1"/>
  <c r="E71"/>
  <c r="B71"/>
  <c r="K71"/>
  <c r="J71" l="1"/>
  <c r="C71"/>
  <c r="C74" s="1"/>
  <c r="L71"/>
</calcChain>
</file>

<file path=xl/comments1.xml><?xml version="1.0" encoding="utf-8"?>
<comments xmlns="http://schemas.openxmlformats.org/spreadsheetml/2006/main">
  <authors>
    <author>AA</author>
  </authors>
  <commentList>
    <comment ref="D2" authorId="0">
      <text>
        <r>
          <rPr>
            <b/>
            <sz val="9"/>
            <color indexed="81"/>
            <rFont val="Tahoma"/>
            <family val="2"/>
          </rPr>
          <t>32680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<sst xmlns="http://schemas.openxmlformats.org/spreadsheetml/2006/main" count="6760" uniqueCount="2853">
  <si>
    <t>CLIENT</t>
  </si>
  <si>
    <t>Facture</t>
  </si>
  <si>
    <t>MCNE</t>
  </si>
  <si>
    <t>REGLEMENT</t>
  </si>
  <si>
    <t>DIFFERENCE</t>
  </si>
  <si>
    <t>Numéro</t>
  </si>
  <si>
    <t>Date</t>
  </si>
  <si>
    <t>DEV</t>
  </si>
  <si>
    <t>MONTANT</t>
  </si>
  <si>
    <t>TND</t>
  </si>
  <si>
    <t>Échéance</t>
  </si>
  <si>
    <t>Montant</t>
  </si>
  <si>
    <t>DATE MEP</t>
  </si>
  <si>
    <t>ECHEANCE</t>
  </si>
  <si>
    <t xml:space="preserve">Date </t>
  </si>
  <si>
    <t>MED ENERGY</t>
  </si>
  <si>
    <t>EUR</t>
  </si>
  <si>
    <t>MARIBAT</t>
  </si>
  <si>
    <t>EX150015</t>
  </si>
  <si>
    <t>USD</t>
  </si>
  <si>
    <t>ERRAFIK</t>
  </si>
  <si>
    <t>EL HARAMAINE</t>
  </si>
  <si>
    <t>EX160002</t>
  </si>
  <si>
    <t>EX160003</t>
  </si>
  <si>
    <t>EX160004</t>
  </si>
  <si>
    <t>EX160005</t>
  </si>
  <si>
    <t>FN110017</t>
  </si>
  <si>
    <t>FN150083</t>
  </si>
  <si>
    <t>FN150084</t>
  </si>
  <si>
    <t>FN150085</t>
  </si>
  <si>
    <t>FN160001</t>
  </si>
  <si>
    <t>FN160002</t>
  </si>
  <si>
    <t>FN160003</t>
  </si>
  <si>
    <t>FN160007</t>
  </si>
  <si>
    <t>FN160008</t>
  </si>
  <si>
    <t>FN160009</t>
  </si>
  <si>
    <t>FN160010</t>
  </si>
  <si>
    <t>FN160011</t>
  </si>
  <si>
    <t>FN160012</t>
  </si>
  <si>
    <t>EX160006</t>
  </si>
  <si>
    <t>FN160016</t>
  </si>
  <si>
    <t>FN160017</t>
  </si>
  <si>
    <t>FN160018</t>
  </si>
  <si>
    <t>FN160022</t>
  </si>
  <si>
    <t>EX160007</t>
  </si>
  <si>
    <t>SNA</t>
  </si>
  <si>
    <t>STA</t>
  </si>
  <si>
    <t>EURO</t>
  </si>
  <si>
    <t>DOLLARS</t>
  </si>
  <si>
    <t xml:space="preserve">EN COURS </t>
  </si>
  <si>
    <t>Virement</t>
  </si>
  <si>
    <t>Previsions</t>
  </si>
  <si>
    <t>Vente Devise</t>
  </si>
  <si>
    <t>Maribat</t>
  </si>
  <si>
    <t>El Haramaine</t>
  </si>
  <si>
    <t>Med Energy</t>
  </si>
  <si>
    <t>Errafik</t>
  </si>
  <si>
    <t>Depenses</t>
  </si>
  <si>
    <t>Import</t>
  </si>
  <si>
    <t>STCM</t>
  </si>
  <si>
    <t>Daramic</t>
  </si>
  <si>
    <t>Goonvean</t>
  </si>
  <si>
    <t>Accuma</t>
  </si>
  <si>
    <t>Akumsan</t>
  </si>
  <si>
    <t>Sovema</t>
  </si>
  <si>
    <t>Glatfelter</t>
  </si>
  <si>
    <t>Engagement Banque</t>
  </si>
  <si>
    <t>Autorisation</t>
  </si>
  <si>
    <t>TAUX EURO/TND</t>
  </si>
  <si>
    <t>TAUX USD/TND</t>
  </si>
  <si>
    <t>TAUX GBP/TND</t>
  </si>
  <si>
    <t>S T A</t>
  </si>
  <si>
    <t>FOURNISSEUR</t>
  </si>
  <si>
    <t>MONNAIE</t>
  </si>
  <si>
    <t>MONT DEV.</t>
  </si>
  <si>
    <t>MONT DT</t>
  </si>
  <si>
    <t>DATE FACTURE</t>
  </si>
  <si>
    <t>TOTAL</t>
  </si>
  <si>
    <t>S N A</t>
  </si>
  <si>
    <t>FN160023</t>
  </si>
  <si>
    <t>FN160026</t>
  </si>
  <si>
    <t>FN160027</t>
  </si>
  <si>
    <t>FN160025</t>
  </si>
  <si>
    <t>EX160008</t>
  </si>
  <si>
    <t>EX160009</t>
  </si>
  <si>
    <t>FN160031</t>
  </si>
  <si>
    <t>FN160032</t>
  </si>
  <si>
    <t>FN160033</t>
  </si>
  <si>
    <t>EX160010</t>
  </si>
  <si>
    <t>CMT</t>
  </si>
  <si>
    <t>Fournisseurs</t>
  </si>
  <si>
    <t>Traite SNA</t>
  </si>
  <si>
    <t>Traite STA</t>
  </si>
  <si>
    <t>Leasing</t>
  </si>
  <si>
    <t>Steg</t>
  </si>
  <si>
    <t>Salaires</t>
  </si>
  <si>
    <t>Recette des Finances</t>
  </si>
  <si>
    <t>Local</t>
  </si>
  <si>
    <t>Escompte</t>
  </si>
  <si>
    <t>Espece</t>
  </si>
  <si>
    <t>Cheque</t>
  </si>
  <si>
    <t>STB TH</t>
  </si>
  <si>
    <t>STB MEG</t>
  </si>
  <si>
    <t>STB</t>
  </si>
  <si>
    <t>SND</t>
  </si>
  <si>
    <t>INT</t>
  </si>
  <si>
    <t>PP</t>
  </si>
  <si>
    <t>Total</t>
  </si>
  <si>
    <t>Intérêt</t>
  </si>
  <si>
    <t>Principal</t>
  </si>
  <si>
    <t>Crédit</t>
  </si>
  <si>
    <t>SNA-NOUR</t>
  </si>
  <si>
    <t>STA-NOUR</t>
  </si>
  <si>
    <t>STA NOUR</t>
  </si>
  <si>
    <t>Observation</t>
  </si>
  <si>
    <t>Date MEP</t>
  </si>
  <si>
    <t>Montant en dinars</t>
  </si>
  <si>
    <t>Cours</t>
  </si>
  <si>
    <t>Montant en devise</t>
  </si>
  <si>
    <t>Fournisseur</t>
  </si>
  <si>
    <t>FINANCEMENTS DE DEVISE IMPORT</t>
  </si>
  <si>
    <t>TIP</t>
  </si>
  <si>
    <t>BTK</t>
  </si>
  <si>
    <t>FN160034</t>
  </si>
  <si>
    <t>FONDERIE</t>
  </si>
  <si>
    <t xml:space="preserve">STB </t>
  </si>
  <si>
    <t>Dividendes</t>
  </si>
  <si>
    <t>PHENICIA</t>
  </si>
  <si>
    <t>Fonderie</t>
  </si>
  <si>
    <t>CCA</t>
  </si>
  <si>
    <t>FN160042</t>
  </si>
  <si>
    <t>EX160011</t>
  </si>
  <si>
    <t>EX160012</t>
  </si>
  <si>
    <t>FN160038</t>
  </si>
  <si>
    <t>FN160039</t>
  </si>
  <si>
    <t>FN160040</t>
  </si>
  <si>
    <t>FN160041</t>
  </si>
  <si>
    <t>CNSS</t>
  </si>
  <si>
    <t>VENTE DEVISE</t>
  </si>
  <si>
    <t>Biasin</t>
  </si>
  <si>
    <t>FN160046</t>
  </si>
  <si>
    <t>FN160050</t>
  </si>
  <si>
    <t>FN160051</t>
  </si>
  <si>
    <t>FN160045</t>
  </si>
  <si>
    <t>FN160054</t>
  </si>
  <si>
    <t>FN160053</t>
  </si>
  <si>
    <t>FN160055</t>
  </si>
  <si>
    <t>FN160052</t>
  </si>
  <si>
    <t>FN160058</t>
  </si>
  <si>
    <t>FN160059</t>
  </si>
  <si>
    <t>FN160060</t>
  </si>
  <si>
    <t>EL HARAMAIN</t>
  </si>
  <si>
    <t>FN160066</t>
  </si>
  <si>
    <t>FN160065</t>
  </si>
  <si>
    <t>FN160067</t>
  </si>
  <si>
    <t>FN160068</t>
  </si>
  <si>
    <t>FN160069</t>
  </si>
  <si>
    <t>FN160072</t>
  </si>
  <si>
    <t>FN160075</t>
  </si>
  <si>
    <t>FN160076</t>
  </si>
  <si>
    <t>EX160014</t>
  </si>
  <si>
    <t>FN160077</t>
  </si>
  <si>
    <t>Credit de gestion: FED</t>
  </si>
  <si>
    <t>EX160015</t>
  </si>
  <si>
    <t>EURO MEG</t>
  </si>
  <si>
    <t>FN160082</t>
  </si>
  <si>
    <t>FN160084</t>
  </si>
  <si>
    <t>TOTAL 2017</t>
  </si>
  <si>
    <t>REGLEMENT FINAL</t>
  </si>
  <si>
    <t>Total 12/2017</t>
  </si>
  <si>
    <t>AU 31/12/2016</t>
  </si>
  <si>
    <t>Sorfin</t>
  </si>
  <si>
    <t>FN160090</t>
  </si>
  <si>
    <t>EX170001</t>
  </si>
  <si>
    <t>FN170001</t>
  </si>
  <si>
    <t>FN170006</t>
  </si>
  <si>
    <t xml:space="preserve">ENERTECH </t>
  </si>
  <si>
    <t>EX170002</t>
  </si>
  <si>
    <t>FN170007</t>
  </si>
  <si>
    <t>$ MEG</t>
  </si>
  <si>
    <t>EX170003</t>
  </si>
  <si>
    <t>FN170008</t>
  </si>
  <si>
    <t>KG</t>
  </si>
  <si>
    <t>ETAIN</t>
  </si>
  <si>
    <t>FN170013</t>
  </si>
  <si>
    <t>FN170014</t>
  </si>
  <si>
    <t>EX170004</t>
  </si>
  <si>
    <t>FN170017</t>
  </si>
  <si>
    <t>FN170020</t>
  </si>
  <si>
    <t>HEMP</t>
  </si>
  <si>
    <t>HEMPE</t>
  </si>
  <si>
    <t>DECHET BATTERIE</t>
  </si>
  <si>
    <t>EX170005</t>
  </si>
  <si>
    <t>FN170024</t>
  </si>
  <si>
    <t>FN170025</t>
  </si>
  <si>
    <t>EX170006</t>
  </si>
  <si>
    <t>EX170007</t>
  </si>
  <si>
    <t xml:space="preserve">HEMPE </t>
  </si>
  <si>
    <t>FH170001</t>
  </si>
  <si>
    <t>FH170002</t>
  </si>
  <si>
    <t>FH170003</t>
  </si>
  <si>
    <t>FH170004</t>
  </si>
  <si>
    <t>Z I</t>
  </si>
  <si>
    <t>ALPHA</t>
  </si>
  <si>
    <t>FED</t>
  </si>
  <si>
    <t>FN170027</t>
  </si>
  <si>
    <t>Plomb local</t>
  </si>
  <si>
    <t>Placement</t>
  </si>
  <si>
    <t>CEMT</t>
  </si>
  <si>
    <t>TAUX CNY/TND</t>
  </si>
  <si>
    <t>CNY</t>
  </si>
  <si>
    <t>FH170005</t>
  </si>
  <si>
    <t>FN170030</t>
  </si>
  <si>
    <t>FH170006</t>
  </si>
  <si>
    <t>FN170031</t>
  </si>
  <si>
    <t>FH170007</t>
  </si>
  <si>
    <t>FH170008</t>
  </si>
  <si>
    <t>FH170009</t>
  </si>
  <si>
    <t>EX170008</t>
  </si>
  <si>
    <t>FN170038</t>
  </si>
  <si>
    <t>FH170010</t>
  </si>
  <si>
    <t>AGENCE</t>
  </si>
  <si>
    <t>FN170039</t>
  </si>
  <si>
    <t>FH170011</t>
  </si>
  <si>
    <t>FN170040</t>
  </si>
  <si>
    <t>FN170041</t>
  </si>
  <si>
    <t>NOUR HEMP</t>
  </si>
  <si>
    <t>kg</t>
  </si>
  <si>
    <t>SOTRAM</t>
  </si>
  <si>
    <t>FH170012</t>
  </si>
  <si>
    <t>FN170044</t>
  </si>
  <si>
    <t>FN170046</t>
  </si>
  <si>
    <t>AUGMENTATION CAPITAL</t>
  </si>
  <si>
    <t>FN170047</t>
  </si>
  <si>
    <t>COUPEAU DE FER</t>
  </si>
  <si>
    <t>EX170009</t>
  </si>
  <si>
    <t>FN170048</t>
  </si>
  <si>
    <t>FH170013</t>
  </si>
  <si>
    <t>DARAMIC</t>
  </si>
  <si>
    <t>FN170049</t>
  </si>
  <si>
    <t>ENERTECH</t>
  </si>
  <si>
    <t>FN170050</t>
  </si>
  <si>
    <t>EX170010</t>
  </si>
  <si>
    <t>BILLET DE TRESORERIE</t>
  </si>
  <si>
    <t>FN170057</t>
  </si>
  <si>
    <t>FN170058</t>
  </si>
  <si>
    <t>FH170014</t>
  </si>
  <si>
    <t>FH170015</t>
  </si>
  <si>
    <t>FN170059</t>
  </si>
  <si>
    <t>FN170060</t>
  </si>
  <si>
    <t>EX170011</t>
  </si>
  <si>
    <t>FH170016</t>
  </si>
  <si>
    <t>FN170061</t>
  </si>
  <si>
    <t>FH170017</t>
  </si>
  <si>
    <t>FN180001</t>
  </si>
  <si>
    <t>FN180002</t>
  </si>
  <si>
    <t>FH180001</t>
  </si>
  <si>
    <t>BATTERIEDIENST</t>
  </si>
  <si>
    <t>FH180002</t>
  </si>
  <si>
    <t>ECHEANCIER 2018</t>
  </si>
  <si>
    <t>TOTAL 2018</t>
  </si>
  <si>
    <t>Total 01/2018</t>
  </si>
  <si>
    <t>Total 03/2018</t>
  </si>
  <si>
    <t>Total 06/2018</t>
  </si>
  <si>
    <t>Total 07/2018</t>
  </si>
  <si>
    <t>Total 09/2018</t>
  </si>
  <si>
    <t>Total 12/2018</t>
  </si>
  <si>
    <t>CRASSE</t>
  </si>
  <si>
    <t>FN180005</t>
  </si>
  <si>
    <t>RESTITUTION TVA</t>
  </si>
  <si>
    <t>NOURAKKUMULATOREN</t>
  </si>
  <si>
    <t>FN180008</t>
  </si>
  <si>
    <t>FN180007</t>
  </si>
  <si>
    <t>NOUR Allemagne</t>
  </si>
  <si>
    <t>EX180002</t>
  </si>
  <si>
    <t>EX180001</t>
  </si>
  <si>
    <t>ACCUMA 14</t>
  </si>
  <si>
    <t>ACCUMA 15</t>
  </si>
  <si>
    <t>ACCUMA 16</t>
  </si>
  <si>
    <t>ACCUMA 17</t>
  </si>
  <si>
    <t>FN180016</t>
  </si>
  <si>
    <t>FN180014</t>
  </si>
  <si>
    <t>TOTAL CRASSE</t>
  </si>
  <si>
    <t>TOTAL DECHET BATTERIE</t>
  </si>
  <si>
    <t>TOTAL ETAIN</t>
  </si>
  <si>
    <t>TOTAL VIEUX PLOMB</t>
  </si>
  <si>
    <t>REGLEMENT RECU</t>
  </si>
  <si>
    <t>RESTE A PAYER</t>
  </si>
  <si>
    <t>QUANTITE NON FACTURE</t>
  </si>
  <si>
    <t>ACCUMA 18</t>
  </si>
  <si>
    <t>ACCUMA 19</t>
  </si>
  <si>
    <t>ACCUMA 20</t>
  </si>
  <si>
    <t>FN180015</t>
  </si>
  <si>
    <t>Total 10/2018</t>
  </si>
  <si>
    <t>HEMPE 2</t>
  </si>
  <si>
    <t>OBLIGATION DOUANES</t>
  </si>
  <si>
    <t>FN180020</t>
  </si>
  <si>
    <t>FN180019</t>
  </si>
  <si>
    <t>FN180021</t>
  </si>
  <si>
    <t>ACCUMA 21</t>
  </si>
  <si>
    <t>WIRTZ</t>
  </si>
  <si>
    <t>COPLOSA</t>
  </si>
  <si>
    <t>Allemagne</t>
  </si>
  <si>
    <t>PRIME INVESTISSEMENT</t>
  </si>
  <si>
    <t>FN180022</t>
  </si>
  <si>
    <t>FN180026</t>
  </si>
  <si>
    <t>FN180025</t>
  </si>
  <si>
    <t>TOTAL ALIMINIUM</t>
  </si>
  <si>
    <t>FN180030</t>
  </si>
  <si>
    <t>FN180031</t>
  </si>
  <si>
    <t>REEL</t>
  </si>
  <si>
    <t>FACTURATION</t>
  </si>
  <si>
    <t>KAIS</t>
  </si>
  <si>
    <t>RELIQUAT</t>
  </si>
  <si>
    <t>Difference</t>
  </si>
  <si>
    <t>PLOMB</t>
  </si>
  <si>
    <t>FN180034</t>
  </si>
  <si>
    <t>N° CHQ</t>
  </si>
  <si>
    <t>Adr fact</t>
  </si>
  <si>
    <t>Nom</t>
  </si>
  <si>
    <t>1r05211</t>
  </si>
  <si>
    <t>STE EL HAMDI PIECES.RECHANGE</t>
  </si>
  <si>
    <t>7R20002</t>
  </si>
  <si>
    <t>HAROUNI HAFSIA BT MOHAMED</t>
  </si>
  <si>
    <t>6R21169</t>
  </si>
  <si>
    <t>STE MBABET AUTO</t>
  </si>
  <si>
    <t>6R21178</t>
  </si>
  <si>
    <t>STE B.ABDESSALEM PIECES AUTO</t>
  </si>
  <si>
    <t>1R02235</t>
  </si>
  <si>
    <t>STE COGEPA</t>
  </si>
  <si>
    <t>TAHER MESTIRI</t>
  </si>
  <si>
    <t>ABDALLAH B. MOHAMED BOUTALEB</t>
  </si>
  <si>
    <t>8R10044</t>
  </si>
  <si>
    <t>HAJJAJI NASREDDINE</t>
  </si>
  <si>
    <t>3R15017</t>
  </si>
  <si>
    <t>FREDJ BEN KHALIFA KLEBI</t>
  </si>
  <si>
    <t>6R23139</t>
  </si>
  <si>
    <t>AWADNI MAATOUG</t>
  </si>
  <si>
    <t>6R23155</t>
  </si>
  <si>
    <t>STE EQUIP.INDUSTRIEL &amp; MARIT</t>
  </si>
  <si>
    <t>3R14079</t>
  </si>
  <si>
    <t>BAAZAOUI SALAH</t>
  </si>
  <si>
    <t>7R16041</t>
  </si>
  <si>
    <t>SALEM AGIL</t>
  </si>
  <si>
    <t>4R12227</t>
  </si>
  <si>
    <t>HAKIM BEN SADOK KHEMIS</t>
  </si>
  <si>
    <t>4R13132</t>
  </si>
  <si>
    <t>STE GENERALE EQUIP.MARITIME</t>
  </si>
  <si>
    <t>6R21174</t>
  </si>
  <si>
    <t>SOKOPA</t>
  </si>
  <si>
    <t>6R21179</t>
  </si>
  <si>
    <t>BAHRI GNAOUI</t>
  </si>
  <si>
    <t>1R01456</t>
  </si>
  <si>
    <t>IMED BEN ZEKRI</t>
  </si>
  <si>
    <t>1r01476</t>
  </si>
  <si>
    <t>MONCEF BEN HABIB CHERNI</t>
  </si>
  <si>
    <t>1r01551</t>
  </si>
  <si>
    <t>GENERALE ELECT.AUTOMOBILE</t>
  </si>
  <si>
    <t>1R02097</t>
  </si>
  <si>
    <t>ESSAIED SALAH</t>
  </si>
  <si>
    <t>1R02150</t>
  </si>
  <si>
    <t>AMEL ZGUIDENE EP SADFI</t>
  </si>
  <si>
    <t>1R02199</t>
  </si>
  <si>
    <t>MOHAMED ZARAGA  Z P A</t>
  </si>
  <si>
    <t>1r02199</t>
  </si>
  <si>
    <t>1r02232</t>
  </si>
  <si>
    <t>ABDELKADER MOEZ BEN LAMINE</t>
  </si>
  <si>
    <t>STE DOGHRI AL BARAKA</t>
  </si>
  <si>
    <t>1r02243</t>
  </si>
  <si>
    <t>STE GLOBAL PIECES AUTOS</t>
  </si>
  <si>
    <t>MOHAMED BEN MOHAMED SAMIR</t>
  </si>
  <si>
    <t>1r04144</t>
  </si>
  <si>
    <t>MEJRI DE PNEUMATIQUE "SMP"</t>
  </si>
  <si>
    <t>1r05171</t>
  </si>
  <si>
    <t>STE L'HORIZON DE PIECES DE</t>
  </si>
  <si>
    <t>1r06020</t>
  </si>
  <si>
    <t>STE MED ALI DE PIECES DE</t>
  </si>
  <si>
    <t>1R07041</t>
  </si>
  <si>
    <t>BOUAZIZ SLAH</t>
  </si>
  <si>
    <t>3R18120</t>
  </si>
  <si>
    <t>BELEL HABIB</t>
  </si>
  <si>
    <t>3R18254</t>
  </si>
  <si>
    <t>MOHAMED KCHAOU</t>
  </si>
  <si>
    <t>3R18336</t>
  </si>
  <si>
    <t>STE PIECES AUTOS JAPONAISES</t>
  </si>
  <si>
    <t>3R18353</t>
  </si>
  <si>
    <t>MOHAMMED BEN NOURI MSAKNI</t>
  </si>
  <si>
    <t>3R18401</t>
  </si>
  <si>
    <t>TAHER BEN AMOR MAHJOUBI</t>
  </si>
  <si>
    <t>7R19030</t>
  </si>
  <si>
    <t>TAIEB JANNETTE</t>
  </si>
  <si>
    <t>4R12104</t>
  </si>
  <si>
    <t>STE.MAGHR. DE PIECES DE RECH</t>
  </si>
  <si>
    <t>4R14056</t>
  </si>
  <si>
    <t>MEHREZ BEN MOHAMED GUIZANI</t>
  </si>
  <si>
    <t>4R15055</t>
  </si>
  <si>
    <t>STATION LAVAGE MONGI B.HSAN</t>
  </si>
  <si>
    <t>6R21118</t>
  </si>
  <si>
    <t>ETS SALAH KOTNI 2</t>
  </si>
  <si>
    <t>6R21155</t>
  </si>
  <si>
    <t>SOCIETE CHAIBI DE CARBURANT</t>
  </si>
  <si>
    <t>6R23048</t>
  </si>
  <si>
    <t>TAIEB GHRIBI</t>
  </si>
  <si>
    <t>8R08037</t>
  </si>
  <si>
    <t>FIDHA AMINE B FATHI B HEDI</t>
  </si>
  <si>
    <t>8R08042</t>
  </si>
  <si>
    <t>HICHEM BEN IBRAHIM RAHALI</t>
  </si>
  <si>
    <t>8R09044</t>
  </si>
  <si>
    <t>KOUKI FAOUZI</t>
  </si>
  <si>
    <t>8R09060</t>
  </si>
  <si>
    <t>SAMIR BEN SLIMEN AOUADI</t>
  </si>
  <si>
    <t>1r01573</t>
  </si>
  <si>
    <t>LAJNAF SALHA</t>
  </si>
  <si>
    <t>STE YOSR DE PIECES AUTOS</t>
  </si>
  <si>
    <t>1R03074</t>
  </si>
  <si>
    <t>BEJI FAYCEL</t>
  </si>
  <si>
    <t>1R05199</t>
  </si>
  <si>
    <t>SOFIENE B RHOUMA "CAP AUTO"</t>
  </si>
  <si>
    <t>3R18053</t>
  </si>
  <si>
    <t>HACHICHA THAMEUR</t>
  </si>
  <si>
    <t>3R18160</t>
  </si>
  <si>
    <t>S M E A</t>
  </si>
  <si>
    <t>3R18274</t>
  </si>
  <si>
    <t>STE HSOUNA FRIKHA ET FILS</t>
  </si>
  <si>
    <t>1R02278</t>
  </si>
  <si>
    <t>STE FREE RENT A CAR</t>
  </si>
  <si>
    <t>1R05196</t>
  </si>
  <si>
    <t>HAIKEL BEN MOULDI ESSAHLI</t>
  </si>
  <si>
    <t>HAMDA MALEK BEN JILANI</t>
  </si>
  <si>
    <t>1r01509</t>
  </si>
  <si>
    <t>STE JAMEL AUTO</t>
  </si>
  <si>
    <t>4R12113</t>
  </si>
  <si>
    <t>HATEM BEN SALAH KRAIEM</t>
  </si>
  <si>
    <t>1r02231</t>
  </si>
  <si>
    <t>STE ARFA AUTO PLUS</t>
  </si>
  <si>
    <t>1r03169</t>
  </si>
  <si>
    <t>MOHAMED RACHED AMAMOU</t>
  </si>
  <si>
    <t>STE SAAIDI PIECES  RECHANGE</t>
  </si>
  <si>
    <t>1R06020</t>
  </si>
  <si>
    <t>FAOUZI MECHRGUI</t>
  </si>
  <si>
    <t>1s02073</t>
  </si>
  <si>
    <t>STUFEME</t>
  </si>
  <si>
    <t>3R18123</t>
  </si>
  <si>
    <t>WAJDI BOUZGENDA</t>
  </si>
  <si>
    <t>3R18375</t>
  </si>
  <si>
    <t>MOHAMED AMINE BEN AMOR</t>
  </si>
  <si>
    <t>3R18394</t>
  </si>
  <si>
    <t>STE S.P.A.M</t>
  </si>
  <si>
    <t>7R16012</t>
  </si>
  <si>
    <t>HASSEN BEN BELGACEM  DABBABI</t>
  </si>
  <si>
    <t>4R12193</t>
  </si>
  <si>
    <t>L AUTO PIECE  HABIB HANDOUS</t>
  </si>
  <si>
    <t>4R12222</t>
  </si>
  <si>
    <t>4R13083</t>
  </si>
  <si>
    <t>ETS RACHED KALBOUSSI</t>
  </si>
  <si>
    <t>4R13137</t>
  </si>
  <si>
    <t>STE CENTRE NAOUALI SERVICES</t>
  </si>
  <si>
    <t>4R15037</t>
  </si>
  <si>
    <t>STE MAHDIA AUTO</t>
  </si>
  <si>
    <t>6R23150</t>
  </si>
  <si>
    <t>STE SUD EQUIPEMENT MARITINE</t>
  </si>
  <si>
    <t>8R09054</t>
  </si>
  <si>
    <t>OUESLATI LOTFI B BELGACEM</t>
  </si>
  <si>
    <t>8R10053</t>
  </si>
  <si>
    <t>OUERGHI MOUNIR B ABDELMAJID</t>
  </si>
  <si>
    <t>8R10060</t>
  </si>
  <si>
    <t>4R13116</t>
  </si>
  <si>
    <t>AHMED BEN ALI TEKAYA</t>
  </si>
  <si>
    <t>6R23152</t>
  </si>
  <si>
    <t>GHRIBI ABDELMOUTALAB B.AMMAR</t>
  </si>
  <si>
    <t>1r01480</t>
  </si>
  <si>
    <t>STE HADJ AUTO</t>
  </si>
  <si>
    <t>1r05071</t>
  </si>
  <si>
    <t>FATHI NAJJAR</t>
  </si>
  <si>
    <t>STE BATTERY CENTER</t>
  </si>
  <si>
    <t>3R18384</t>
  </si>
  <si>
    <t>STE DES PIECES DE RECHANGE</t>
  </si>
  <si>
    <t>1r01518</t>
  </si>
  <si>
    <t>MANAI WAHID</t>
  </si>
  <si>
    <t>1r05103</t>
  </si>
  <si>
    <t>JALEL BEN AHMED EL GABSI</t>
  </si>
  <si>
    <t>BALTI TAREK</t>
  </si>
  <si>
    <t>STE ALBOURAQ PIECES AUTO</t>
  </si>
  <si>
    <t>1r06126</t>
  </si>
  <si>
    <t>NAILA BEN AHMED JEMAI</t>
  </si>
  <si>
    <t>STE ZORGATI VEHICULES</t>
  </si>
  <si>
    <t>3R18061</t>
  </si>
  <si>
    <t>COPI  AUTOS</t>
  </si>
  <si>
    <t>3R18321</t>
  </si>
  <si>
    <t>SOCIETE GENERAL DE PIECES</t>
  </si>
  <si>
    <t>3R18368</t>
  </si>
  <si>
    <t>STE KRIAA GENERALE PIECES</t>
  </si>
  <si>
    <t>ALI BEN AHMED CHAABANI</t>
  </si>
  <si>
    <t>4R12228</t>
  </si>
  <si>
    <t>SOCIETE DARDOUR ET FILS</t>
  </si>
  <si>
    <t>3R18072</t>
  </si>
  <si>
    <t>SIRAJ BEN ZINA</t>
  </si>
  <si>
    <t>6r21173</t>
  </si>
  <si>
    <t>STE RESSIFI DES PIECES AUTOS</t>
  </si>
  <si>
    <t>3R18207</t>
  </si>
  <si>
    <t>SMAOUI MOHSEN</t>
  </si>
  <si>
    <t>4R12236</t>
  </si>
  <si>
    <t>STE ELECTRICIA AUTO</t>
  </si>
  <si>
    <t>1r02148</t>
  </si>
  <si>
    <t>AMOR BEN ABDRAHMENE BIBANI</t>
  </si>
  <si>
    <t>1r02224</t>
  </si>
  <si>
    <t>STE SO CO PA</t>
  </si>
  <si>
    <t>1R03157</t>
  </si>
  <si>
    <t>RIAHI TAREK B HMIDA B MED</t>
  </si>
  <si>
    <t>NOUREDDINE B MOHAMOUD KNIOUA</t>
  </si>
  <si>
    <t>3R18234</t>
  </si>
  <si>
    <t>STE CDTPR</t>
  </si>
  <si>
    <t>6R21173</t>
  </si>
  <si>
    <t>1r02193</t>
  </si>
  <si>
    <t>KHALED DRIDI</t>
  </si>
  <si>
    <t>6R23125</t>
  </si>
  <si>
    <t>MOHSEN BEN ALI BEN CHOUIKHA</t>
  </si>
  <si>
    <t>1R01217</t>
  </si>
  <si>
    <t>BEJI CHEDLY</t>
  </si>
  <si>
    <t>STE MANEL AUTO-SOMA-</t>
  </si>
  <si>
    <t>MONDHER MEFTAH</t>
  </si>
  <si>
    <t>1r01511</t>
  </si>
  <si>
    <t>CHERIF MOHAMED</t>
  </si>
  <si>
    <t>1r01554</t>
  </si>
  <si>
    <t>STE CAR PLUS</t>
  </si>
  <si>
    <t>1R02082</t>
  </si>
  <si>
    <t>M P R- ESSID LASSAAD</t>
  </si>
  <si>
    <t>1r02097</t>
  </si>
  <si>
    <t>1r02185</t>
  </si>
  <si>
    <t>SOCIETE ULTRA SERVICE</t>
  </si>
  <si>
    <t>1r02194</t>
  </si>
  <si>
    <t>LES EQUIPEMENTS MARITIMES DE</t>
  </si>
  <si>
    <t>1r02238</t>
  </si>
  <si>
    <t>SMPA MASMOUDI PIECES AUTOS</t>
  </si>
  <si>
    <t>STE CYRINE DRIME CAR</t>
  </si>
  <si>
    <t>STE AUTO SERVICE PLUS</t>
  </si>
  <si>
    <t>AVEA MAGHREB</t>
  </si>
  <si>
    <t>1r04105</t>
  </si>
  <si>
    <t>BELGACEM BEN BOUBAKER MEJRI</t>
  </si>
  <si>
    <t>JALELEDDINE B SALEM ZERELLI</t>
  </si>
  <si>
    <t>1r05040</t>
  </si>
  <si>
    <t>MONGI BEN BRAHIM</t>
  </si>
  <si>
    <t>NEJI EL JAZI</t>
  </si>
  <si>
    <t>1r05173</t>
  </si>
  <si>
    <t>AYMEN BEN HAMMADI BENAMOR</t>
  </si>
  <si>
    <t>STE AFRICA DES PIECES AUTOS</t>
  </si>
  <si>
    <t>SOUHEIL TEKAYA</t>
  </si>
  <si>
    <t>HELA FERJANI NEE AJMI</t>
  </si>
  <si>
    <t>1r07047</t>
  </si>
  <si>
    <t>SOUFIANE MANNAI</t>
  </si>
  <si>
    <t>1r09019</t>
  </si>
  <si>
    <t>ALI BEN BRAHIM HAMMAMI</t>
  </si>
  <si>
    <t>1R12001</t>
  </si>
  <si>
    <t>BOURAOUI LAMTI</t>
  </si>
  <si>
    <t>STE HARECH TRANS.TERRESTRE</t>
  </si>
  <si>
    <t>3R15036</t>
  </si>
  <si>
    <t>STE GOMRI FRERES DE PIECES</t>
  </si>
  <si>
    <t>3R18317</t>
  </si>
  <si>
    <t>KALLEL HATEM</t>
  </si>
  <si>
    <t>3R18373</t>
  </si>
  <si>
    <t>MAKNI HANEN</t>
  </si>
  <si>
    <t>3R18389</t>
  </si>
  <si>
    <t>STE RANEN.PIECES DE RECHANGE</t>
  </si>
  <si>
    <t>7R16027</t>
  </si>
  <si>
    <t>STE GENERALE AGRICOLE</t>
  </si>
  <si>
    <t>7R17047</t>
  </si>
  <si>
    <t>ARBI BEN ALIU GHARBI</t>
  </si>
  <si>
    <t>7r19070</t>
  </si>
  <si>
    <t>MEJDI NAJET BENT IBRAHIM</t>
  </si>
  <si>
    <t>7R22039</t>
  </si>
  <si>
    <t>STE AL BARAKA EQUIP.GENERALE</t>
  </si>
  <si>
    <t>4R12177</t>
  </si>
  <si>
    <t>DOUIK PIECES AUTOS</t>
  </si>
  <si>
    <t>4R12181</t>
  </si>
  <si>
    <t>NEJIB GADHOUM</t>
  </si>
  <si>
    <t>4R12257</t>
  </si>
  <si>
    <t>STE MY CAR DISTRIBUTION</t>
  </si>
  <si>
    <t>4R13041</t>
  </si>
  <si>
    <t>SOCIETE ZARRAD ET CIE</t>
  </si>
  <si>
    <t>4R13139</t>
  </si>
  <si>
    <t>STE CARTAGE AUTO</t>
  </si>
  <si>
    <t>4R13140</t>
  </si>
  <si>
    <t>STE COMPTOIR HADROUG</t>
  </si>
  <si>
    <t>4R14007</t>
  </si>
  <si>
    <t>PIECES AUTOS BEN ALAYA MED</t>
  </si>
  <si>
    <t>4R14062</t>
  </si>
  <si>
    <t>PIECES AUTOS MED AZZOUZ</t>
  </si>
  <si>
    <t>4R14072</t>
  </si>
  <si>
    <t>IBRAHIM EL HEDI DIWANI</t>
  </si>
  <si>
    <t>4R15035</t>
  </si>
  <si>
    <t>STE YASSINE PETROLIUM</t>
  </si>
  <si>
    <t>4R15052</t>
  </si>
  <si>
    <t>STE ALFATIMYA CARS</t>
  </si>
  <si>
    <t>6R23151</t>
  </si>
  <si>
    <t>STE M W AUTO'S</t>
  </si>
  <si>
    <t>CHENAINA HOUCINE B AHMED</t>
  </si>
  <si>
    <t>8R08026</t>
  </si>
  <si>
    <t>RIDHA BEN ALI MENSI</t>
  </si>
  <si>
    <t>8R08045</t>
  </si>
  <si>
    <t>STE AOULED KHDHIRI SARL</t>
  </si>
  <si>
    <t>8R09020</t>
  </si>
  <si>
    <t>MAKREM ZAMMALI</t>
  </si>
  <si>
    <t>8R10052</t>
  </si>
  <si>
    <t>STE MAIS</t>
  </si>
  <si>
    <t>STE GLE DE FOURNITURE</t>
  </si>
  <si>
    <t>1r01445</t>
  </si>
  <si>
    <t>COMPTOIR METOUIEN AUTOMOBILE</t>
  </si>
  <si>
    <t>1R01473</t>
  </si>
  <si>
    <t>MERIEM ABDELKADER</t>
  </si>
  <si>
    <t>1r01492</t>
  </si>
  <si>
    <t>RAMEH JAMILA BEN SADOK</t>
  </si>
  <si>
    <t>1R01561</t>
  </si>
  <si>
    <t>STE OCTOBUS</t>
  </si>
  <si>
    <t>1r02141</t>
  </si>
  <si>
    <t>CHEDLY AOUINI</t>
  </si>
  <si>
    <t>SOCIETE BOUJNAH</t>
  </si>
  <si>
    <t>1r02247</t>
  </si>
  <si>
    <t>SO.CO.PI</t>
  </si>
  <si>
    <t>1r02277</t>
  </si>
  <si>
    <t>STE COMPTOIR PCES RCHGS+ELEC</t>
  </si>
  <si>
    <t>1R02281</t>
  </si>
  <si>
    <t>BESGHAIER WAJDI</t>
  </si>
  <si>
    <t>1r03100</t>
  </si>
  <si>
    <t>STE  BEN TALEB PIECES AUTOS</t>
  </si>
  <si>
    <t>SOCIETE HNIA</t>
  </si>
  <si>
    <t>1r03149</t>
  </si>
  <si>
    <t>HASSINI AHMED BEN MOHAMED</t>
  </si>
  <si>
    <t>1r03170</t>
  </si>
  <si>
    <t>STE LEADER COMPTOIR AUTO</t>
  </si>
  <si>
    <t>ABDELKADER B YOUSSEF GHARBI</t>
  </si>
  <si>
    <t>1R05042</t>
  </si>
  <si>
    <t>STE. COMMERCIALE DES PIECES</t>
  </si>
  <si>
    <t>1r05181</t>
  </si>
  <si>
    <t>MAJED BEN MED HAMMAMI</t>
  </si>
  <si>
    <t>1R05191</t>
  </si>
  <si>
    <t>STE ELECTRIC AUTO NABEUL</t>
  </si>
  <si>
    <t>1r05194</t>
  </si>
  <si>
    <t>TAHER KABOUS ROYAL AUTO</t>
  </si>
  <si>
    <t>1r05203</t>
  </si>
  <si>
    <t>STE HADDAD PIECES.RECHANGES</t>
  </si>
  <si>
    <t>1R06038</t>
  </si>
  <si>
    <t>SOCIETE AUTOS PIECES</t>
  </si>
  <si>
    <t>1R06160</t>
  </si>
  <si>
    <t>CHHIMI HENDA</t>
  </si>
  <si>
    <t>3R18101</t>
  </si>
  <si>
    <t>ETAB. FARHAT BOUJELBAN</t>
  </si>
  <si>
    <t>3R18104</t>
  </si>
  <si>
    <t>ISMAIL TOUNSI</t>
  </si>
  <si>
    <t>3R18119</t>
  </si>
  <si>
    <t>ZOUARI FRERES</t>
  </si>
  <si>
    <t>3R18337</t>
  </si>
  <si>
    <t>SOCIETE ALI PIECES AUTOS</t>
  </si>
  <si>
    <t>STE IDEALE PIECES AUTOS SIPA</t>
  </si>
  <si>
    <t>3R18380</t>
  </si>
  <si>
    <t>STE SLIM VENTE PIECES AUTOS</t>
  </si>
  <si>
    <t>3R18396</t>
  </si>
  <si>
    <t>STE HAJ TAIEB PIECES.RECHANG</t>
  </si>
  <si>
    <t>7R16078</t>
  </si>
  <si>
    <t>4R12212</t>
  </si>
  <si>
    <t>COMPTOIR DOUICK DE PIECES</t>
  </si>
  <si>
    <t>4R13141</t>
  </si>
  <si>
    <t>STE CHARGUI FILS &amp; COMPANIES</t>
  </si>
  <si>
    <t>4R14071</t>
  </si>
  <si>
    <t>COMPTOIR CAMION DU CENTRE</t>
  </si>
  <si>
    <t>6R21145</t>
  </si>
  <si>
    <t>SOCIETE EL HOUIOUI</t>
  </si>
  <si>
    <t>6R23143</t>
  </si>
  <si>
    <t>HAOUARI CHOKRI</t>
  </si>
  <si>
    <t>6R23146</t>
  </si>
  <si>
    <t>ZAMMOURIA FATMA EPS MANSOURI</t>
  </si>
  <si>
    <t>8R10040</t>
  </si>
  <si>
    <t>ROJDI BEN MOHAMED KRAOUII</t>
  </si>
  <si>
    <t>8R10057</t>
  </si>
  <si>
    <t>SOLTANI HSAN B.MBAREK</t>
  </si>
  <si>
    <t>3R18381</t>
  </si>
  <si>
    <t>STE DREAM CAR</t>
  </si>
  <si>
    <t>4R15046</t>
  </si>
  <si>
    <t>STE AUTO PRO</t>
  </si>
  <si>
    <t>1r02263</t>
  </si>
  <si>
    <t>NAMOUCHI MARIEM</t>
  </si>
  <si>
    <t>1R06103</t>
  </si>
  <si>
    <t>SOCIETE PIECE AUTO ESSAID</t>
  </si>
  <si>
    <t>3R15038</t>
  </si>
  <si>
    <t>ANIS BEN KHALIPHA RHAIEM</t>
  </si>
  <si>
    <t>1R01146</t>
  </si>
  <si>
    <t>OUN ALLAH SALAHEDDINE</t>
  </si>
  <si>
    <t>1R01556</t>
  </si>
  <si>
    <t>STE PIECES.RECH.FRANCAISE</t>
  </si>
  <si>
    <t>BEN AHMED AUTO</t>
  </si>
  <si>
    <t>1r02083</t>
  </si>
  <si>
    <t>STE MATEUR QUINC [SOGEMAQ]</t>
  </si>
  <si>
    <t>1r03161</t>
  </si>
  <si>
    <t>STE TUNNE VEHICULES INDUST</t>
  </si>
  <si>
    <t>AURADIS</t>
  </si>
  <si>
    <t>3R15039</t>
  </si>
  <si>
    <t>AMINE BEN FREDJ MAHMOUD</t>
  </si>
  <si>
    <t>3R18039</t>
  </si>
  <si>
    <t>STE COGEP AUTO</t>
  </si>
  <si>
    <t>3R18388</t>
  </si>
  <si>
    <t>COMP.GENERAL.PIECES.RECHANGE</t>
  </si>
  <si>
    <t>4R12214</t>
  </si>
  <si>
    <t>LIMEME FATHI BEN KHLIFA</t>
  </si>
  <si>
    <t>4R13115</t>
  </si>
  <si>
    <t>SOCIETE WORLD PARTS</t>
  </si>
  <si>
    <t>1R01567</t>
  </si>
  <si>
    <t>STE AVENIR AUTO</t>
  </si>
  <si>
    <t>1r02245</t>
  </si>
  <si>
    <t>STE SUD MOTORS SRVIVES AUTO</t>
  </si>
  <si>
    <t>1r03124</t>
  </si>
  <si>
    <t>STE MEDHIOUB PIECES AUTOS</t>
  </si>
  <si>
    <t>4R12263</t>
  </si>
  <si>
    <t>GRAJA NIZAR "GENERAL AUTO"</t>
  </si>
  <si>
    <t>4R13134</t>
  </si>
  <si>
    <t>STE MEMMI-AUTO ET COMPAGNIES</t>
  </si>
  <si>
    <t>1r05195</t>
  </si>
  <si>
    <t>STE MDIALE PCE AUTOMOBILES</t>
  </si>
  <si>
    <t>1r02233</t>
  </si>
  <si>
    <t>STE ARIJ PIECES AUTOS</t>
  </si>
  <si>
    <t>1r01550</t>
  </si>
  <si>
    <t>LAHMAR KAIES</t>
  </si>
  <si>
    <t>1r04120</t>
  </si>
  <si>
    <t>3R18367</t>
  </si>
  <si>
    <t>7r19018</t>
  </si>
  <si>
    <t>YACOUBI BEN MOULDI EL ABED</t>
  </si>
  <si>
    <t>4R12252</t>
  </si>
  <si>
    <t>STE DITRI-FILTRE</t>
  </si>
  <si>
    <t>4R12262</t>
  </si>
  <si>
    <t>STE CIPA</t>
  </si>
  <si>
    <t>4R14039</t>
  </si>
  <si>
    <t>HAMIDA SHILI</t>
  </si>
  <si>
    <t>6r21074</t>
  </si>
  <si>
    <t>MOUHAMED GDEMME</t>
  </si>
  <si>
    <t>6R23098</t>
  </si>
  <si>
    <t>ABICHOU ABDELFATTAH</t>
  </si>
  <si>
    <t>6R23118</t>
  </si>
  <si>
    <t>MOURAD BEN GACEM NALOUTI</t>
  </si>
  <si>
    <t>8R06002</t>
  </si>
  <si>
    <t>ABDELMAJID BEN HASSEN AMIRI</t>
  </si>
  <si>
    <t>8R09023</t>
  </si>
  <si>
    <t>SOUADI ABDELKADER</t>
  </si>
  <si>
    <t>8R10059</t>
  </si>
  <si>
    <t>STE MECHERGUI EZZEDINE P.AUT</t>
  </si>
  <si>
    <t>1r03074</t>
  </si>
  <si>
    <t>1R05171</t>
  </si>
  <si>
    <t>1r02174</t>
  </si>
  <si>
    <t>SOCIETE DRIDI AUTO (SDA)</t>
  </si>
  <si>
    <t>1R03109</t>
  </si>
  <si>
    <t>1r05166</t>
  </si>
  <si>
    <t>STE GHAMMAM ET CIE</t>
  </si>
  <si>
    <t>4R12231</t>
  </si>
  <si>
    <t>1R04146</t>
  </si>
  <si>
    <t>PROCAR TUNISIE</t>
  </si>
  <si>
    <t>1r02237</t>
  </si>
  <si>
    <t>1R04121</t>
  </si>
  <si>
    <t>3R15029</t>
  </si>
  <si>
    <t>STE HERITIERS MHAMED SOUGUA</t>
  </si>
  <si>
    <t>3R18047</t>
  </si>
  <si>
    <t>COMPTOIR ABDENNADHER</t>
  </si>
  <si>
    <t>3R18264</t>
  </si>
  <si>
    <t>GUIDARA ABDALLAH</t>
  </si>
  <si>
    <t>3R18382</t>
  </si>
  <si>
    <t>STE KZ PIECES AUTOS</t>
  </si>
  <si>
    <t>3R18410</t>
  </si>
  <si>
    <t>SOCIETE C P R A</t>
  </si>
  <si>
    <t>4R14047</t>
  </si>
  <si>
    <t>EL BARAKA VENTE PIECES RECH.</t>
  </si>
  <si>
    <t>6r23150</t>
  </si>
  <si>
    <t>6r23153</t>
  </si>
  <si>
    <t>BOUCHADDAKH KHALED</t>
  </si>
  <si>
    <t>8R11072</t>
  </si>
  <si>
    <t>SOUAD BENT HEDI KALAI</t>
  </si>
  <si>
    <t>1s01117</t>
  </si>
  <si>
    <t>STE.CARRIERE B.M'BAREK &amp;CIE</t>
  </si>
  <si>
    <t>1R02138</t>
  </si>
  <si>
    <t>STE COMPT EQUIP AUTOS</t>
  </si>
  <si>
    <t>1R05175</t>
  </si>
  <si>
    <t>3R18406</t>
  </si>
  <si>
    <t>SOSAPIA</t>
  </si>
  <si>
    <t>3R18408</t>
  </si>
  <si>
    <t>BEN ALI HAFEDH</t>
  </si>
  <si>
    <t>3R18411</t>
  </si>
  <si>
    <t>S P I R</t>
  </si>
  <si>
    <t>4R13133</t>
  </si>
  <si>
    <t>SOCIETE SASSI SARL</t>
  </si>
  <si>
    <t>6r23151</t>
  </si>
  <si>
    <t>1R01504</t>
  </si>
  <si>
    <t>SO.TU.PA</t>
  </si>
  <si>
    <t>1R05103</t>
  </si>
  <si>
    <t>1r05192</t>
  </si>
  <si>
    <t>1R02148</t>
  </si>
  <si>
    <t>6r21118</t>
  </si>
  <si>
    <t>1r01050</t>
  </si>
  <si>
    <t>GUIZANI FETHI</t>
  </si>
  <si>
    <t>1R01539</t>
  </si>
  <si>
    <t>1r02257</t>
  </si>
  <si>
    <t>1R07013</t>
  </si>
  <si>
    <t>STE.GUEDRI MOHSEN ET FRERES</t>
  </si>
  <si>
    <t>7R19061</t>
  </si>
  <si>
    <t>STE GENERALE AUTO DU SUD</t>
  </si>
  <si>
    <t>1r01161</t>
  </si>
  <si>
    <t>ALI YAHYAOUI</t>
  </si>
  <si>
    <t>1r01386</t>
  </si>
  <si>
    <t>1r01540</t>
  </si>
  <si>
    <t>STE UNIVSEL AUTOMOTIVES PART</t>
  </si>
  <si>
    <t>1r01548</t>
  </si>
  <si>
    <t>BEN SALEM MALIKA</t>
  </si>
  <si>
    <t>1r01575</t>
  </si>
  <si>
    <t>STE FARAH</t>
  </si>
  <si>
    <t>1R02193</t>
  </si>
  <si>
    <t>1r02201</t>
  </si>
  <si>
    <t>AYMEN BEN EZZEDDINE DAOUDI</t>
  </si>
  <si>
    <t>1R02211</t>
  </si>
  <si>
    <t>CHIBANI BEN SALEM TAYEB</t>
  </si>
  <si>
    <t>1R02224</t>
  </si>
  <si>
    <t>1r02225</t>
  </si>
  <si>
    <t>1R02232</t>
  </si>
  <si>
    <t>1R02247</t>
  </si>
  <si>
    <t>1r02264</t>
  </si>
  <si>
    <t>AOUINI SAFOUANE</t>
  </si>
  <si>
    <t>1R03100</t>
  </si>
  <si>
    <t>1R03131</t>
  </si>
  <si>
    <t>1R03149</t>
  </si>
  <si>
    <t>1R03163</t>
  </si>
  <si>
    <t>NAJAHI DES PIECES AUTOS"SNPA</t>
  </si>
  <si>
    <t>1r04098</t>
  </si>
  <si>
    <t>GARA NABIL BEN BECHIR</t>
  </si>
  <si>
    <t>1r04141</t>
  </si>
  <si>
    <t>STE FOURAT DE PIECES AUTO</t>
  </si>
  <si>
    <t>1R05034</t>
  </si>
  <si>
    <t>1r05042</t>
  </si>
  <si>
    <t>1R05153</t>
  </si>
  <si>
    <t>BRAHIM BEN MOHAMED MEDDEB</t>
  </si>
  <si>
    <t>1R05184</t>
  </si>
  <si>
    <t>1R05186</t>
  </si>
  <si>
    <t>1R05188</t>
  </si>
  <si>
    <t>STE HAMI AUTO</t>
  </si>
  <si>
    <t>1R05194</t>
  </si>
  <si>
    <t>1R05200</t>
  </si>
  <si>
    <t>SOCIETE RECTIF</t>
  </si>
  <si>
    <t>1r05210</t>
  </si>
  <si>
    <t>STE BOUKHZAR SARL</t>
  </si>
  <si>
    <t>1r05214</t>
  </si>
  <si>
    <t>STE RAMI.VNTE.PICES.RECHANGE</t>
  </si>
  <si>
    <t>1r06038</t>
  </si>
  <si>
    <t>1R06136</t>
  </si>
  <si>
    <t>STE COMPTOIR NORD DE PIECES</t>
  </si>
  <si>
    <t>1r06141</t>
  </si>
  <si>
    <t>1r06146</t>
  </si>
  <si>
    <t>BT SERVICES SURAL</t>
  </si>
  <si>
    <t>1R07047</t>
  </si>
  <si>
    <t>3r18396</t>
  </si>
  <si>
    <t>3R18399</t>
  </si>
  <si>
    <t>SPARE PART DISTRIBUTION</t>
  </si>
  <si>
    <t>7R08001</t>
  </si>
  <si>
    <t>NABIL B AHMED B SALAH SMAII</t>
  </si>
  <si>
    <t>7R16055</t>
  </si>
  <si>
    <t>EZZEDDINE LETIFI</t>
  </si>
  <si>
    <t>7R17011</t>
  </si>
  <si>
    <t>MOHAMED NACEUR ABDELLI</t>
  </si>
  <si>
    <t>7R19050</t>
  </si>
  <si>
    <t>BELHOULA ABDELKARIM</t>
  </si>
  <si>
    <t>7R22044</t>
  </si>
  <si>
    <t>STE NEFZAWA EQUIPS GENERALE</t>
  </si>
  <si>
    <t>4R13028</t>
  </si>
  <si>
    <t>SOCIETE MANNAI BATIMENT</t>
  </si>
  <si>
    <t>4R13135</t>
  </si>
  <si>
    <t>ZIED ABDELMALEK</t>
  </si>
  <si>
    <t>6R21177</t>
  </si>
  <si>
    <t>BLIDAWI AHMED BEN MOHAMED</t>
  </si>
  <si>
    <t>6R24019</t>
  </si>
  <si>
    <t>8R09081</t>
  </si>
  <si>
    <t>AOUADI MOHAMED BEN CHAOUKI</t>
  </si>
  <si>
    <t>8r10040</t>
  </si>
  <si>
    <t>8R10051</t>
  </si>
  <si>
    <t>AOUADI ABDELKARIM</t>
  </si>
  <si>
    <t>1R07059</t>
  </si>
  <si>
    <t>CHERIF ABDERRAHIM B.CHEDLY</t>
  </si>
  <si>
    <t>1R01495</t>
  </si>
  <si>
    <t>SALIM AUTOS</t>
  </si>
  <si>
    <t>1R03124</t>
  </si>
  <si>
    <t>1r04136</t>
  </si>
  <si>
    <t>MAHDI BEN ELHEDI</t>
  </si>
  <si>
    <t>1R05211</t>
  </si>
  <si>
    <t>1r06103</t>
  </si>
  <si>
    <t>1r06161</t>
  </si>
  <si>
    <t>STE TOUNSI PIECES AUTO</t>
  </si>
  <si>
    <t>7R19018</t>
  </si>
  <si>
    <t>1r01556</t>
  </si>
  <si>
    <t>3R18400</t>
  </si>
  <si>
    <t>KAMMOUN MOHAMED</t>
  </si>
  <si>
    <t>6R21181</t>
  </si>
  <si>
    <t>BEDOUI MANEL BT ALI</t>
  </si>
  <si>
    <t>3R18412</t>
  </si>
  <si>
    <t>STE REKIK AUTOS</t>
  </si>
  <si>
    <t>6r21174</t>
  </si>
  <si>
    <t>6R21074</t>
  </si>
  <si>
    <t>1R01551</t>
  </si>
  <si>
    <t>1r02176</t>
  </si>
  <si>
    <t>MONCEF ZARRAGA</t>
  </si>
  <si>
    <t>1r03147</t>
  </si>
  <si>
    <t>STE AYARI AUTOS &amp; CIE</t>
  </si>
  <si>
    <t>3r18375</t>
  </si>
  <si>
    <t>4R12261</t>
  </si>
  <si>
    <t>STE BEN MARIEM AUTO</t>
  </si>
  <si>
    <t>6r23155</t>
  </si>
  <si>
    <t>1r02138</t>
  </si>
  <si>
    <t>1r06136</t>
  </si>
  <si>
    <t>1R01389</t>
  </si>
  <si>
    <t>1R01575</t>
  </si>
  <si>
    <t>1R02280</t>
  </si>
  <si>
    <t>MOHSEN ZARAGA</t>
  </si>
  <si>
    <t>1R05166</t>
  </si>
  <si>
    <t>1R05173</t>
  </si>
  <si>
    <t>1s03058</t>
  </si>
  <si>
    <t>STE LES 3 M</t>
  </si>
  <si>
    <t>8R10047</t>
  </si>
  <si>
    <t>DABBOUSSI MUSTAPHA</t>
  </si>
  <si>
    <t>1r06160</t>
  </si>
  <si>
    <t>3r18119</t>
  </si>
  <si>
    <t>6R23153</t>
  </si>
  <si>
    <t>4r15055</t>
  </si>
  <si>
    <t>1R01550</t>
  </si>
  <si>
    <t>1r03160</t>
  </si>
  <si>
    <t>SOCIETE AYARI AUTOS</t>
  </si>
  <si>
    <t>1R05195</t>
  </si>
  <si>
    <t>1R01518</t>
  </si>
  <si>
    <t>1r01572</t>
  </si>
  <si>
    <t>STE GENERAL PIECES [ANTIT]</t>
  </si>
  <si>
    <t>1R02245</t>
  </si>
  <si>
    <t>1R02185</t>
  </si>
  <si>
    <t>1R01445</t>
  </si>
  <si>
    <t>6r21178</t>
  </si>
  <si>
    <t>Echéance</t>
  </si>
  <si>
    <t>4R14029</t>
  </si>
  <si>
    <t>JAADI MONCEF</t>
  </si>
  <si>
    <t>3R18133</t>
  </si>
  <si>
    <t>KHENFIR MOHAMED LAMJED</t>
  </si>
  <si>
    <t>3R18068</t>
  </si>
  <si>
    <t>MOHAMED GHARIANI</t>
  </si>
  <si>
    <t>3R18409</t>
  </si>
  <si>
    <t>STE PCES DE RECH.AUTO.NACEUR</t>
  </si>
  <si>
    <t>1R04037</t>
  </si>
  <si>
    <t>SOCIETE ZAGHLA FRERES</t>
  </si>
  <si>
    <t>1R05055</t>
  </si>
  <si>
    <t>RHIM CHEDLY</t>
  </si>
  <si>
    <t>6R21055</t>
  </si>
  <si>
    <t>S.G.P</t>
  </si>
  <si>
    <t>1R02173</t>
  </si>
  <si>
    <t>NOUREDDINE CHENIB</t>
  </si>
  <si>
    <t>1R02226</t>
  </si>
  <si>
    <t>STE CHENIB DE PIECES AUTOS</t>
  </si>
  <si>
    <t>3R18046</t>
  </si>
  <si>
    <t>ELECTRO-AUTO</t>
  </si>
  <si>
    <t>4R12125</t>
  </si>
  <si>
    <t>KHEMAIES BOUDECHE</t>
  </si>
  <si>
    <t>4R12211</t>
  </si>
  <si>
    <t>STE ZORGATI VEHICULE</t>
  </si>
  <si>
    <t>1R03141</t>
  </si>
  <si>
    <t>BEN ALI HAMDI</t>
  </si>
  <si>
    <t>TYPE</t>
  </si>
  <si>
    <t>DESIGN</t>
  </si>
  <si>
    <t>OP N°</t>
  </si>
  <si>
    <t>DATE-OP</t>
  </si>
  <si>
    <t>DATE-RECU</t>
  </si>
  <si>
    <t>MT OUV</t>
  </si>
  <si>
    <t>REG</t>
  </si>
  <si>
    <t>MT</t>
  </si>
  <si>
    <t>STATUT</t>
  </si>
  <si>
    <t>CH</t>
  </si>
  <si>
    <t>FIXNGO</t>
  </si>
  <si>
    <t>00012376</t>
  </si>
  <si>
    <t>0002340</t>
  </si>
  <si>
    <t>EN SIGNATURE</t>
  </si>
  <si>
    <t>BSA</t>
  </si>
  <si>
    <t>00012377</t>
  </si>
  <si>
    <t>0002341</t>
  </si>
  <si>
    <t>SSP</t>
  </si>
  <si>
    <t>00012378</t>
  </si>
  <si>
    <t>0002343</t>
  </si>
  <si>
    <t>STE MOHSEN GUEDRI</t>
  </si>
  <si>
    <t>00012379</t>
  </si>
  <si>
    <t>0002344</t>
  </si>
  <si>
    <t>STE GHARBI SOFIEN</t>
  </si>
  <si>
    <t>00012380</t>
  </si>
  <si>
    <t>0002345</t>
  </si>
  <si>
    <t>HASSEN GHARBI</t>
  </si>
  <si>
    <t>00012381</t>
  </si>
  <si>
    <t>0002346</t>
  </si>
  <si>
    <t>MORGAN CARBON TUNISIA</t>
  </si>
  <si>
    <t>00012382</t>
  </si>
  <si>
    <t>0002347</t>
  </si>
  <si>
    <t>LIN</t>
  </si>
  <si>
    <t>00012383</t>
  </si>
  <si>
    <t>0002348</t>
  </si>
  <si>
    <t>REBOBINAGE SAMIR BELGACEM</t>
  </si>
  <si>
    <t>00012384</t>
  </si>
  <si>
    <t>0002349</t>
  </si>
  <si>
    <t>00012386</t>
  </si>
  <si>
    <t>0002350</t>
  </si>
  <si>
    <t>COMPTOIR HAMMAMI</t>
  </si>
  <si>
    <t>CHIMEX</t>
  </si>
  <si>
    <t>00012388</t>
  </si>
  <si>
    <t>0002353</t>
  </si>
  <si>
    <t>ch</t>
  </si>
  <si>
    <t>STE NOUVELLE DU COMPTOIR</t>
  </si>
  <si>
    <t>00012391</t>
  </si>
  <si>
    <t>0002354</t>
  </si>
  <si>
    <t>TAREK HADJ AMOR</t>
  </si>
  <si>
    <t>00012392</t>
  </si>
  <si>
    <t>0002355</t>
  </si>
  <si>
    <t>2RE</t>
  </si>
  <si>
    <t>00012394</t>
  </si>
  <si>
    <t>0002356</t>
  </si>
  <si>
    <t>LES GRANDS ATELIERS DU NORD</t>
  </si>
  <si>
    <t>00012395</t>
  </si>
  <si>
    <t>0002357</t>
  </si>
  <si>
    <t>ASS MAGHREBIA</t>
  </si>
  <si>
    <t>00012396</t>
  </si>
  <si>
    <t>0002358</t>
  </si>
  <si>
    <t>TUNISIE TELECOM   ( FIXE )</t>
  </si>
  <si>
    <t>00012397</t>
  </si>
  <si>
    <t>0002359</t>
  </si>
  <si>
    <t>ARGUS PIECES AUTO</t>
  </si>
  <si>
    <t>00012399</t>
  </si>
  <si>
    <t>0002361</t>
  </si>
  <si>
    <t>00012414</t>
  </si>
  <si>
    <t>0002370</t>
  </si>
  <si>
    <t>TR</t>
  </si>
  <si>
    <t>EQUIPEMENT MODERNE</t>
  </si>
  <si>
    <t>00012393</t>
  </si>
  <si>
    <t>TR01371</t>
  </si>
  <si>
    <t>NORD INDUSTRIE</t>
  </si>
  <si>
    <t>00012389</t>
  </si>
  <si>
    <t>TR01369</t>
  </si>
  <si>
    <t>00012413</t>
  </si>
  <si>
    <t>TR01375</t>
  </si>
  <si>
    <t>LYS IMPRESSION</t>
  </si>
  <si>
    <t>00012390</t>
  </si>
  <si>
    <t>TR01370</t>
  </si>
  <si>
    <t>STE TOP ETANCHEITE</t>
  </si>
  <si>
    <t>00010563</t>
  </si>
  <si>
    <t>0000789</t>
  </si>
  <si>
    <t>FINANCE</t>
  </si>
  <si>
    <t>00010581</t>
  </si>
  <si>
    <t>0000803</t>
  </si>
  <si>
    <t>SOGAM</t>
  </si>
  <si>
    <t>00010711</t>
  </si>
  <si>
    <t>0000917</t>
  </si>
  <si>
    <t>00010714</t>
  </si>
  <si>
    <t>0000919</t>
  </si>
  <si>
    <t>SOTUVENT</t>
  </si>
  <si>
    <t>00011145</t>
  </si>
  <si>
    <t>0001292</t>
  </si>
  <si>
    <t>00011884</t>
  </si>
  <si>
    <t>0001917</t>
  </si>
  <si>
    <t>SUMP</t>
  </si>
  <si>
    <t>00011951</t>
  </si>
  <si>
    <t>0001974</t>
  </si>
  <si>
    <t>ROYALTYRE</t>
  </si>
  <si>
    <t>00012048</t>
  </si>
  <si>
    <t>0002057</t>
  </si>
  <si>
    <t>RFT</t>
  </si>
  <si>
    <t>00012067</t>
  </si>
  <si>
    <t>0002076</t>
  </si>
  <si>
    <t>H2M</t>
  </si>
  <si>
    <t>00012074</t>
  </si>
  <si>
    <t>0002080</t>
  </si>
  <si>
    <t>MODELEC</t>
  </si>
  <si>
    <t>00012165</t>
  </si>
  <si>
    <t>0002160</t>
  </si>
  <si>
    <t>LAD OCEANA LUBRICANTS</t>
  </si>
  <si>
    <t>00012169</t>
  </si>
  <si>
    <t>0002162</t>
  </si>
  <si>
    <t>MATECH</t>
  </si>
  <si>
    <t>00012170</t>
  </si>
  <si>
    <t>0002163</t>
  </si>
  <si>
    <t>00012174</t>
  </si>
  <si>
    <t>0002166</t>
  </si>
  <si>
    <t>RECOPNEU</t>
  </si>
  <si>
    <t>00012189</t>
  </si>
  <si>
    <t>0002181</t>
  </si>
  <si>
    <t>00012210</t>
  </si>
  <si>
    <t>0002202</t>
  </si>
  <si>
    <t>LOUKIL VEHICULES INDUSTRIELS</t>
  </si>
  <si>
    <t>00012243</t>
  </si>
  <si>
    <t>0002223</t>
  </si>
  <si>
    <t>00012264</t>
  </si>
  <si>
    <t>0002241</t>
  </si>
  <si>
    <t>RECEVEUR MUNICIPAL ZAGHOUAN</t>
  </si>
  <si>
    <t>00012265</t>
  </si>
  <si>
    <t>0002242</t>
  </si>
  <si>
    <t>GENERALE INDUSTRIE</t>
  </si>
  <si>
    <t>00012279</t>
  </si>
  <si>
    <t>0002254</t>
  </si>
  <si>
    <t>SOCOOPEC</t>
  </si>
  <si>
    <t>00012291</t>
  </si>
  <si>
    <t>0002268</t>
  </si>
  <si>
    <t>TUNISIE COAL</t>
  </si>
  <si>
    <t>00012301</t>
  </si>
  <si>
    <t>0002276</t>
  </si>
  <si>
    <t>00012303</t>
  </si>
  <si>
    <t>0002277</t>
  </si>
  <si>
    <t>00012305</t>
  </si>
  <si>
    <t>0002278</t>
  </si>
  <si>
    <t>00012307</t>
  </si>
  <si>
    <t>0002280</t>
  </si>
  <si>
    <t>ISOLMAX</t>
  </si>
  <si>
    <t>00012316</t>
  </si>
  <si>
    <t>0002289</t>
  </si>
  <si>
    <t>00012320</t>
  </si>
  <si>
    <t>0002292</t>
  </si>
  <si>
    <t>00012330</t>
  </si>
  <si>
    <t>0002303</t>
  </si>
  <si>
    <t>00012172</t>
  </si>
  <si>
    <t>TR01332</t>
  </si>
  <si>
    <t>PMGI</t>
  </si>
  <si>
    <t>00012336</t>
  </si>
  <si>
    <t>0002307</t>
  </si>
  <si>
    <t>EQUIPEMENT MODERNE HARDWARE</t>
  </si>
  <si>
    <t>00012215</t>
  </si>
  <si>
    <t>TR01338</t>
  </si>
  <si>
    <t>AIR LIQUIDE TUNISIE</t>
  </si>
  <si>
    <t>00012410</t>
  </si>
  <si>
    <t>0002368</t>
  </si>
  <si>
    <t>SFAXIEN INDUSTRI.AUTOMOBILE</t>
  </si>
  <si>
    <t>00012240</t>
  </si>
  <si>
    <t>TR01344</t>
  </si>
  <si>
    <t>Ok polysterene</t>
  </si>
  <si>
    <t>00012024</t>
  </si>
  <si>
    <t>TR01313</t>
  </si>
  <si>
    <t>00012329</t>
  </si>
  <si>
    <t>TR01357</t>
  </si>
  <si>
    <t>00012167</t>
  </si>
  <si>
    <t>TR01330</t>
  </si>
  <si>
    <t>SAMIR MBAREK</t>
  </si>
  <si>
    <t>00012353</t>
  </si>
  <si>
    <t>TR01363</t>
  </si>
  <si>
    <t>00012335</t>
  </si>
  <si>
    <t>TR01359</t>
  </si>
  <si>
    <t>MOTRA</t>
  </si>
  <si>
    <t>00012039</t>
  </si>
  <si>
    <t>0002049</t>
  </si>
  <si>
    <t>00012260</t>
  </si>
  <si>
    <t>0002238</t>
  </si>
  <si>
    <t>TUNIMATEC</t>
  </si>
  <si>
    <t>00012269</t>
  </si>
  <si>
    <t>0002246</t>
  </si>
  <si>
    <t>TUNISIANET</t>
  </si>
  <si>
    <t>00012288</t>
  </si>
  <si>
    <t>0002265</t>
  </si>
  <si>
    <t>LA DOUANE</t>
  </si>
  <si>
    <t>VECTORYS</t>
  </si>
  <si>
    <t>MSC</t>
  </si>
  <si>
    <t>00012312</t>
  </si>
  <si>
    <t>0002285</t>
  </si>
  <si>
    <t>00012313</t>
  </si>
  <si>
    <t>0002286</t>
  </si>
  <si>
    <t>SOFAP</t>
  </si>
  <si>
    <t>00012324</t>
  </si>
  <si>
    <t>0002297</t>
  </si>
  <si>
    <t>00012346</t>
  </si>
  <si>
    <t>0002315</t>
  </si>
  <si>
    <t>00012345</t>
  </si>
  <si>
    <t>0002314</t>
  </si>
  <si>
    <t>CHAMBRE DE COMMERCE</t>
  </si>
  <si>
    <t>00012354</t>
  </si>
  <si>
    <t>0002320</t>
  </si>
  <si>
    <t>00012364</t>
  </si>
  <si>
    <t>0002330</t>
  </si>
  <si>
    <t>WORL MARITIME AGENCY</t>
  </si>
  <si>
    <t>00012362</t>
  </si>
  <si>
    <t>0002328</t>
  </si>
  <si>
    <t>00012363</t>
  </si>
  <si>
    <t>0002329</t>
  </si>
  <si>
    <t>STAM</t>
  </si>
  <si>
    <t>00012366</t>
  </si>
  <si>
    <t>0002331</t>
  </si>
  <si>
    <t>OB</t>
  </si>
  <si>
    <t>00011834</t>
  </si>
  <si>
    <t>OB00088</t>
  </si>
  <si>
    <t>KAIS TAYACHI</t>
  </si>
  <si>
    <t>GLOBAL NET</t>
  </si>
  <si>
    <t>00012267</t>
  </si>
  <si>
    <t>0002244</t>
  </si>
  <si>
    <t>SALAIRE</t>
  </si>
  <si>
    <t>00012403</t>
  </si>
  <si>
    <t>0002362</t>
  </si>
  <si>
    <t>00012404</t>
  </si>
  <si>
    <t>0002363</t>
  </si>
  <si>
    <t>00012409</t>
  </si>
  <si>
    <t>0002364</t>
  </si>
  <si>
    <t>PRÊT</t>
  </si>
  <si>
    <t>00012406</t>
  </si>
  <si>
    <t>0002365</t>
  </si>
  <si>
    <t>GENERAL INCENDIE</t>
  </si>
  <si>
    <t>00011940</t>
  </si>
  <si>
    <t>TR01302</t>
  </si>
  <si>
    <t>STE UNIVERSAL DES METAUX</t>
  </si>
  <si>
    <t>00012368</t>
  </si>
  <si>
    <t>TR01365</t>
  </si>
  <si>
    <t>ENK</t>
  </si>
  <si>
    <t>00011636</t>
  </si>
  <si>
    <t>TR01259</t>
  </si>
  <si>
    <t>00012099</t>
  </si>
  <si>
    <t>tr01326</t>
  </si>
  <si>
    <t>00012230</t>
  </si>
  <si>
    <t>TR01342</t>
  </si>
  <si>
    <t>00012212</t>
  </si>
  <si>
    <t>TR01335</t>
  </si>
  <si>
    <t>PROSID</t>
  </si>
  <si>
    <t>00012271</t>
  </si>
  <si>
    <t>TR01350</t>
  </si>
  <si>
    <t>00012304</t>
  </si>
  <si>
    <t>TR01354</t>
  </si>
  <si>
    <t>00012348</t>
  </si>
  <si>
    <t>TR01360</t>
  </si>
  <si>
    <t>00012168</t>
  </si>
  <si>
    <t>TR01331</t>
  </si>
  <si>
    <t>00012369</t>
  </si>
  <si>
    <t>TR01366</t>
  </si>
  <si>
    <t>GENERALE CHIMIE</t>
  </si>
  <si>
    <t>00012400</t>
  </si>
  <si>
    <t>TR01372</t>
  </si>
  <si>
    <t>STARPACK</t>
  </si>
  <si>
    <t>00012228</t>
  </si>
  <si>
    <t>TR01341</t>
  </si>
  <si>
    <t>00012294</t>
  </si>
  <si>
    <t>TR01351</t>
  </si>
  <si>
    <t>00012145</t>
  </si>
  <si>
    <t>TR01329</t>
  </si>
  <si>
    <t>00011637</t>
  </si>
  <si>
    <t>TR01260</t>
  </si>
  <si>
    <t>Boudrant</t>
  </si>
  <si>
    <t>00012213</t>
  </si>
  <si>
    <t>TR01336</t>
  </si>
  <si>
    <t>00012227</t>
  </si>
  <si>
    <t>TR01340</t>
  </si>
  <si>
    <t>00012334</t>
  </si>
  <si>
    <t>TR01358</t>
  </si>
  <si>
    <t>00012349</t>
  </si>
  <si>
    <t>TR01361</t>
  </si>
  <si>
    <t>00012244</t>
  </si>
  <si>
    <t>TR01345</t>
  </si>
  <si>
    <t>00012370</t>
  </si>
  <si>
    <t>TR01367</t>
  </si>
  <si>
    <t>00012238</t>
  </si>
  <si>
    <t>TR01343</t>
  </si>
  <si>
    <t>Ulysse Spare Parts</t>
  </si>
  <si>
    <t>00012245</t>
  </si>
  <si>
    <t>TR01346</t>
  </si>
  <si>
    <t>00012319</t>
  </si>
  <si>
    <t>TR01356</t>
  </si>
  <si>
    <t>00012302</t>
  </si>
  <si>
    <t>TR01353</t>
  </si>
  <si>
    <t>00012262</t>
  </si>
  <si>
    <t>TR01347</t>
  </si>
  <si>
    <t>00012401</t>
  </si>
  <si>
    <t>TR01373</t>
  </si>
  <si>
    <t>00012352</t>
  </si>
  <si>
    <t>TR01362</t>
  </si>
  <si>
    <t>00011638</t>
  </si>
  <si>
    <t>TR01261</t>
  </si>
  <si>
    <t>00011651</t>
  </si>
  <si>
    <t>TR01267</t>
  </si>
  <si>
    <t>00012216</t>
  </si>
  <si>
    <t>TR01339</t>
  </si>
  <si>
    <t>00012365</t>
  </si>
  <si>
    <t>OB00090</t>
  </si>
  <si>
    <t>00012402</t>
  </si>
  <si>
    <t>TR01374</t>
  </si>
  <si>
    <t>FBI</t>
  </si>
  <si>
    <t>00013432</t>
  </si>
  <si>
    <t>0004665</t>
  </si>
  <si>
    <t>00013433</t>
  </si>
  <si>
    <t>0004666</t>
  </si>
  <si>
    <t>OOREDOO</t>
  </si>
  <si>
    <t>00013434</t>
  </si>
  <si>
    <t>0004667</t>
  </si>
  <si>
    <t>ISST</t>
  </si>
  <si>
    <t>00012526</t>
  </si>
  <si>
    <t>0003890</t>
  </si>
  <si>
    <t>00012668</t>
  </si>
  <si>
    <t>0004009</t>
  </si>
  <si>
    <t>STE BEN MASSOUD FRERES</t>
  </si>
  <si>
    <t>00012824</t>
  </si>
  <si>
    <t>0004141</t>
  </si>
  <si>
    <t>MAISON DE LA BALANCE</t>
  </si>
  <si>
    <t>00012911</t>
  </si>
  <si>
    <t>0004223</t>
  </si>
  <si>
    <t>PNA</t>
  </si>
  <si>
    <t>00013212</t>
  </si>
  <si>
    <t>0004490</t>
  </si>
  <si>
    <t>00012972</t>
  </si>
  <si>
    <t>TR01166</t>
  </si>
  <si>
    <t>00013315</t>
  </si>
  <si>
    <t>0004562</t>
  </si>
  <si>
    <t>00013259</t>
  </si>
  <si>
    <t>TR01183</t>
  </si>
  <si>
    <t>00013381</t>
  </si>
  <si>
    <t>0004620</t>
  </si>
  <si>
    <t>00013384</t>
  </si>
  <si>
    <t>0004622</t>
  </si>
  <si>
    <t>ROMULUS VOYAGE</t>
  </si>
  <si>
    <t>00013385</t>
  </si>
  <si>
    <t>0004623</t>
  </si>
  <si>
    <t>TR01197</t>
  </si>
  <si>
    <t>00013400</t>
  </si>
  <si>
    <t>0004638</t>
  </si>
  <si>
    <t>SOCIETE BEN ALIA FRERES</t>
  </si>
  <si>
    <t>00013414</t>
  </si>
  <si>
    <t>0004651</t>
  </si>
  <si>
    <t>T V I</t>
  </si>
  <si>
    <t>00013408</t>
  </si>
  <si>
    <t>TR01208</t>
  </si>
  <si>
    <t>00013423</t>
  </si>
  <si>
    <t>0004660</t>
  </si>
  <si>
    <t>00013430</t>
  </si>
  <si>
    <t>0004663</t>
  </si>
  <si>
    <t>00013407</t>
  </si>
  <si>
    <t>0004644</t>
  </si>
  <si>
    <t>00013380</t>
  </si>
  <si>
    <t>TR01206</t>
  </si>
  <si>
    <t>SITEM</t>
  </si>
  <si>
    <t>00013429</t>
  </si>
  <si>
    <t>TR01209</t>
  </si>
  <si>
    <t>00013394</t>
  </si>
  <si>
    <t>OB00072</t>
  </si>
  <si>
    <t>HELA SEMMERI</t>
  </si>
  <si>
    <t>00005927</t>
  </si>
  <si>
    <t>0000507</t>
  </si>
  <si>
    <t>REFLEX NUMERIQUE</t>
  </si>
  <si>
    <t>00006038</t>
  </si>
  <si>
    <t>0000561</t>
  </si>
  <si>
    <t>00006195</t>
  </si>
  <si>
    <t>0000644</t>
  </si>
  <si>
    <t>00006320</t>
  </si>
  <si>
    <t>0000705</t>
  </si>
  <si>
    <t>STE LOTFI KACEM ET CIE</t>
  </si>
  <si>
    <t>00006331</t>
  </si>
  <si>
    <t>0000713</t>
  </si>
  <si>
    <t>00006357</t>
  </si>
  <si>
    <t>0000720</t>
  </si>
  <si>
    <t>ZRIBI MAKRAM</t>
  </si>
  <si>
    <t>00006362</t>
  </si>
  <si>
    <t>0000724</t>
  </si>
  <si>
    <t>00006375</t>
  </si>
  <si>
    <t>0000730</t>
  </si>
  <si>
    <t>STE REGUIGUI PNEUMATIQUE</t>
  </si>
  <si>
    <t>00006376</t>
  </si>
  <si>
    <t>0000731</t>
  </si>
  <si>
    <t>00006379</t>
  </si>
  <si>
    <t>0000734</t>
  </si>
  <si>
    <t>00006389</t>
  </si>
  <si>
    <t>0000741</t>
  </si>
  <si>
    <t>00006434</t>
  </si>
  <si>
    <t>0000763</t>
  </si>
  <si>
    <t>00006435</t>
  </si>
  <si>
    <t>0000764</t>
  </si>
  <si>
    <t>0000767</t>
  </si>
  <si>
    <t>00006451</t>
  </si>
  <si>
    <t>0000769</t>
  </si>
  <si>
    <t>ooredoo</t>
  </si>
  <si>
    <t>00006452</t>
  </si>
  <si>
    <t>0000770</t>
  </si>
  <si>
    <t>CAISSE</t>
  </si>
  <si>
    <t>00006388</t>
  </si>
  <si>
    <t>0000740</t>
  </si>
  <si>
    <t>STE NOUVELLE DES ACC NOUR</t>
  </si>
  <si>
    <t>00006344</t>
  </si>
  <si>
    <t>TR00388</t>
  </si>
  <si>
    <t>00006350</t>
  </si>
  <si>
    <t>TR00394</t>
  </si>
  <si>
    <t>00006345</t>
  </si>
  <si>
    <t>TR00389</t>
  </si>
  <si>
    <t>00006351</t>
  </si>
  <si>
    <t>TR00395</t>
  </si>
  <si>
    <t>00006346</t>
  </si>
  <si>
    <t>TR00390</t>
  </si>
  <si>
    <t>00006352</t>
  </si>
  <si>
    <t>TR00396</t>
  </si>
  <si>
    <t>00006347</t>
  </si>
  <si>
    <t>TR00391</t>
  </si>
  <si>
    <t>00006353</t>
  </si>
  <si>
    <t>TR00397</t>
  </si>
  <si>
    <t>00006348</t>
  </si>
  <si>
    <t>TR00392</t>
  </si>
  <si>
    <t>00006354</t>
  </si>
  <si>
    <t>TR00398</t>
  </si>
  <si>
    <t>00000261</t>
  </si>
  <si>
    <t>0000249</t>
  </si>
  <si>
    <t>COGEFO</t>
  </si>
  <si>
    <t>00000277</t>
  </si>
  <si>
    <t>0000259</t>
  </si>
  <si>
    <t>00000279</t>
  </si>
  <si>
    <t>0000260</t>
  </si>
  <si>
    <t>00000288</t>
  </si>
  <si>
    <t>0000267</t>
  </si>
  <si>
    <t>00000292</t>
  </si>
  <si>
    <t>0000271</t>
  </si>
  <si>
    <t>00000291</t>
  </si>
  <si>
    <t>0000270</t>
  </si>
  <si>
    <t>00000301</t>
  </si>
  <si>
    <t>TR00035</t>
  </si>
  <si>
    <t>00000299</t>
  </si>
  <si>
    <t>TR00034</t>
  </si>
  <si>
    <t>00000311</t>
  </si>
  <si>
    <t>TR00044</t>
  </si>
  <si>
    <t>EQUIPEMENT MODERNE INDUSTRIE</t>
  </si>
  <si>
    <t>00000302</t>
  </si>
  <si>
    <t>TR00036</t>
  </si>
  <si>
    <t>SOTUFLEX</t>
  </si>
  <si>
    <t>00000304</t>
  </si>
  <si>
    <t>TR00037</t>
  </si>
  <si>
    <t>00000268</t>
  </si>
  <si>
    <t>TR00031</t>
  </si>
  <si>
    <t>00000310</t>
  </si>
  <si>
    <t>TR00043</t>
  </si>
  <si>
    <t>00000312</t>
  </si>
  <si>
    <t>TR00045</t>
  </si>
  <si>
    <t>00000313</t>
  </si>
  <si>
    <t>TR00046</t>
  </si>
  <si>
    <t>00000317</t>
  </si>
  <si>
    <t>TR00047</t>
  </si>
  <si>
    <t>Solde au 31/08/2018</t>
  </si>
  <si>
    <t>DIVERS ET IMPREVUE</t>
  </si>
  <si>
    <t>DEMETAL</t>
  </si>
  <si>
    <t>LC</t>
  </si>
  <si>
    <t>ACCUMA 22</t>
  </si>
  <si>
    <t>ACCUMA 23</t>
  </si>
  <si>
    <t>ACCUMA 24</t>
  </si>
  <si>
    <t>POWER COM</t>
  </si>
  <si>
    <t>HB FULLER</t>
  </si>
  <si>
    <t>POWER CON</t>
  </si>
  <si>
    <t>7R22003</t>
  </si>
  <si>
    <t>BELGACEM BEN SMIDA</t>
  </si>
  <si>
    <t>4R13098</t>
  </si>
  <si>
    <t>ELECTRIC AUTO JEMMAL</t>
  </si>
  <si>
    <t>1S01209</t>
  </si>
  <si>
    <t>STE TIME</t>
  </si>
  <si>
    <t>0001080</t>
  </si>
  <si>
    <t>4R14015</t>
  </si>
  <si>
    <t>0004670</t>
  </si>
  <si>
    <t>0000166</t>
  </si>
  <si>
    <t>0000795</t>
  </si>
  <si>
    <t>0000385</t>
  </si>
  <si>
    <t>4R12246</t>
  </si>
  <si>
    <t>EL BALDI ANIS</t>
  </si>
  <si>
    <t>4000395</t>
  </si>
  <si>
    <t>4001737</t>
  </si>
  <si>
    <t>5597433</t>
  </si>
  <si>
    <t>0000559</t>
  </si>
  <si>
    <t>0000694</t>
  </si>
  <si>
    <t>0000459</t>
  </si>
  <si>
    <t>0001468</t>
  </si>
  <si>
    <t>6R23159</t>
  </si>
  <si>
    <t>HADDAD MAKHLOUF</t>
  </si>
  <si>
    <t>0000825</t>
  </si>
  <si>
    <t>0004669</t>
  </si>
  <si>
    <t>4000206</t>
  </si>
  <si>
    <t>6261252</t>
  </si>
  <si>
    <t>8226810</t>
  </si>
  <si>
    <t>0001116</t>
  </si>
  <si>
    <t>8840231</t>
  </si>
  <si>
    <t>0004171</t>
  </si>
  <si>
    <t>0005438</t>
  </si>
  <si>
    <t>6598607</t>
  </si>
  <si>
    <t>1138590</t>
  </si>
  <si>
    <t>0004055</t>
  </si>
  <si>
    <t>0000590</t>
  </si>
  <si>
    <t>8119207</t>
  </si>
  <si>
    <t>0000536</t>
  </si>
  <si>
    <t>4001861</t>
  </si>
  <si>
    <t>0000642</t>
  </si>
  <si>
    <t>3068926</t>
  </si>
  <si>
    <t>7940416</t>
  </si>
  <si>
    <t>3725112</t>
  </si>
  <si>
    <t>0003301</t>
  </si>
  <si>
    <t>0001975</t>
  </si>
  <si>
    <t>1125430</t>
  </si>
  <si>
    <t>6R24020</t>
  </si>
  <si>
    <t>0000038</t>
  </si>
  <si>
    <t>0004671</t>
  </si>
  <si>
    <t>6888710</t>
  </si>
  <si>
    <t>3338915</t>
  </si>
  <si>
    <t>0064189</t>
  </si>
  <si>
    <t>8599688</t>
  </si>
  <si>
    <t>0000684</t>
  </si>
  <si>
    <t>0743979</t>
  </si>
  <si>
    <t>2085634</t>
  </si>
  <si>
    <t>0041152</t>
  </si>
  <si>
    <t>0000025</t>
  </si>
  <si>
    <t>0700917</t>
  </si>
  <si>
    <t>0005233</t>
  </si>
  <si>
    <t>1178100</t>
  </si>
  <si>
    <t>2216794</t>
  </si>
  <si>
    <t>7549368</t>
  </si>
  <si>
    <t>4000257</t>
  </si>
  <si>
    <t>6117231</t>
  </si>
  <si>
    <t>0002951</t>
  </si>
  <si>
    <t>0000534</t>
  </si>
  <si>
    <t>0871999</t>
  </si>
  <si>
    <t>0069482</t>
  </si>
  <si>
    <t>0000133</t>
  </si>
  <si>
    <t>5518164</t>
  </si>
  <si>
    <t>0004038</t>
  </si>
  <si>
    <t>1494361</t>
  </si>
  <si>
    <t>8687258</t>
  </si>
  <si>
    <t>0000472</t>
  </si>
  <si>
    <t>0001081</t>
  </si>
  <si>
    <t>8354645</t>
  </si>
  <si>
    <t>5750651</t>
  </si>
  <si>
    <t>8290258</t>
  </si>
  <si>
    <t>0000101</t>
  </si>
  <si>
    <t>0902988</t>
  </si>
  <si>
    <t>3034439</t>
  </si>
  <si>
    <t>3519952</t>
  </si>
  <si>
    <t>8517786</t>
  </si>
  <si>
    <t>0003866</t>
  </si>
  <si>
    <t>0000395</t>
  </si>
  <si>
    <t>9523101</t>
  </si>
  <si>
    <t>9584733</t>
  </si>
  <si>
    <t>0000742</t>
  </si>
  <si>
    <t>6546535</t>
  </si>
  <si>
    <t>2616016</t>
  </si>
  <si>
    <t>9003020</t>
  </si>
  <si>
    <t>0003729</t>
  </si>
  <si>
    <t>6900320</t>
  </si>
  <si>
    <t>0001556</t>
  </si>
  <si>
    <t>0003035</t>
  </si>
  <si>
    <t>1810406</t>
  </si>
  <si>
    <t>8184122</t>
  </si>
  <si>
    <t>7730899</t>
  </si>
  <si>
    <t>9022402</t>
  </si>
  <si>
    <t>0008649</t>
  </si>
  <si>
    <t>8383955</t>
  </si>
  <si>
    <t>3673085</t>
  </si>
  <si>
    <t>0003730</t>
  </si>
  <si>
    <t>0000232</t>
  </si>
  <si>
    <t>0001258</t>
  </si>
  <si>
    <t>0005641</t>
  </si>
  <si>
    <t>0001514</t>
  </si>
  <si>
    <t>6868111</t>
  </si>
  <si>
    <t>2018485</t>
  </si>
  <si>
    <t>0095161</t>
  </si>
  <si>
    <t>8809530</t>
  </si>
  <si>
    <t>2557518</t>
  </si>
  <si>
    <t>0000591</t>
  </si>
  <si>
    <t>5702501</t>
  </si>
  <si>
    <t>1125488</t>
  </si>
  <si>
    <t>1939555</t>
  </si>
  <si>
    <t>7400231</t>
  </si>
  <si>
    <t>3278856</t>
  </si>
  <si>
    <t>7549361</t>
  </si>
  <si>
    <t>0000776</t>
  </si>
  <si>
    <t>0593274</t>
  </si>
  <si>
    <t>8119213</t>
  </si>
  <si>
    <t>5557168</t>
  </si>
  <si>
    <t>0005552</t>
  </si>
  <si>
    <t>0005736</t>
  </si>
  <si>
    <t>0000751</t>
  </si>
  <si>
    <t>0001735</t>
  </si>
  <si>
    <t>2223684</t>
  </si>
  <si>
    <t>7275757</t>
  </si>
  <si>
    <t>8660400</t>
  </si>
  <si>
    <t>3552781</t>
  </si>
  <si>
    <t>3742415</t>
  </si>
  <si>
    <t>1911431</t>
  </si>
  <si>
    <t>2934896</t>
  </si>
  <si>
    <t>0250338</t>
  </si>
  <si>
    <t>0001187</t>
  </si>
  <si>
    <t>7729756</t>
  </si>
  <si>
    <t>8687259</t>
  </si>
  <si>
    <t>2818202</t>
  </si>
  <si>
    <t>1216519</t>
  </si>
  <si>
    <t>1294098</t>
  </si>
  <si>
    <t>0000467</t>
  </si>
  <si>
    <t>0001063</t>
  </si>
  <si>
    <t>0001082</t>
  </si>
  <si>
    <t>2943062</t>
  </si>
  <si>
    <t>0000049</t>
  </si>
  <si>
    <t>8235382</t>
  </si>
  <si>
    <t>6223320</t>
  </si>
  <si>
    <t>2442281</t>
  </si>
  <si>
    <t>3519953</t>
  </si>
  <si>
    <t>3034440</t>
  </si>
  <si>
    <t>7940417</t>
  </si>
  <si>
    <t>0003302</t>
  </si>
  <si>
    <t>0001172</t>
  </si>
  <si>
    <t>2616017</t>
  </si>
  <si>
    <t>0001976</t>
  </si>
  <si>
    <t>1r01517</t>
  </si>
  <si>
    <t>NAIM BERRICH</t>
  </si>
  <si>
    <t>4001103</t>
  </si>
  <si>
    <t>3788758</t>
  </si>
  <si>
    <t>0007075</t>
  </si>
  <si>
    <t>1494362</t>
  </si>
  <si>
    <t>1909127</t>
  </si>
  <si>
    <t>0001557</t>
  </si>
  <si>
    <t>0004039</t>
  </si>
  <si>
    <t>0003712</t>
  </si>
  <si>
    <t>0000888</t>
  </si>
  <si>
    <t>3725113</t>
  </si>
  <si>
    <t>1810404</t>
  </si>
  <si>
    <t>0003790</t>
  </si>
  <si>
    <t>0003728</t>
  </si>
  <si>
    <t>0095162</t>
  </si>
  <si>
    <t>8502124</t>
  </si>
  <si>
    <t>8077385</t>
  </si>
  <si>
    <t>1178101</t>
  </si>
  <si>
    <t>3278857</t>
  </si>
  <si>
    <t>0000226</t>
  </si>
  <si>
    <t>0002952</t>
  </si>
  <si>
    <t>0003857</t>
  </si>
  <si>
    <t>0531465</t>
  </si>
  <si>
    <t>0207519</t>
  </si>
  <si>
    <t>7487269</t>
  </si>
  <si>
    <t>3077533</t>
  </si>
  <si>
    <t>3211044</t>
  </si>
  <si>
    <t>0000416</t>
  </si>
  <si>
    <t>0001197</t>
  </si>
  <si>
    <t>8687260</t>
  </si>
  <si>
    <t>0004259</t>
  </si>
  <si>
    <t>0008650</t>
  </si>
  <si>
    <t>3292035</t>
  </si>
  <si>
    <t>1431726</t>
  </si>
  <si>
    <t>0000815</t>
  </si>
  <si>
    <t>0000575</t>
  </si>
  <si>
    <t>0000102</t>
  </si>
  <si>
    <t>8570587</t>
  </si>
  <si>
    <t>3519954</t>
  </si>
  <si>
    <t>8517787</t>
  </si>
  <si>
    <t>4001969</t>
  </si>
  <si>
    <t>0004475</t>
  </si>
  <si>
    <t>0000710</t>
  </si>
  <si>
    <t>0000592</t>
  </si>
  <si>
    <t>7549363</t>
  </si>
  <si>
    <t>8119208</t>
  </si>
  <si>
    <t>0003036</t>
  </si>
  <si>
    <t>0000067</t>
  </si>
  <si>
    <t>0001977</t>
  </si>
  <si>
    <t>0004703</t>
  </si>
  <si>
    <t>5716281</t>
  </si>
  <si>
    <t>0001259</t>
  </si>
  <si>
    <t>7940418</t>
  </si>
  <si>
    <t>8966274</t>
  </si>
  <si>
    <t>0003727</t>
  </si>
  <si>
    <t>0004699</t>
  </si>
  <si>
    <t>0001558</t>
  </si>
  <si>
    <t>1494363</t>
  </si>
  <si>
    <t>3686880</t>
  </si>
  <si>
    <t>0005511</t>
  </si>
  <si>
    <t>0001515</t>
  </si>
  <si>
    <t>6R21175</t>
  </si>
  <si>
    <t>9440780</t>
  </si>
  <si>
    <t>0003791</t>
  </si>
  <si>
    <t>1390888</t>
  </si>
  <si>
    <t>3278858</t>
  </si>
  <si>
    <t>1387302</t>
  </si>
  <si>
    <t>8283819</t>
  </si>
  <si>
    <t>8712724</t>
  </si>
  <si>
    <t>0004704</t>
  </si>
  <si>
    <t>6276245</t>
  </si>
  <si>
    <t>2577526</t>
  </si>
  <si>
    <t>8840232</t>
  </si>
  <si>
    <t>0005364</t>
  </si>
  <si>
    <t>8687261</t>
  </si>
  <si>
    <t>8477952</t>
  </si>
  <si>
    <t>0979263</t>
  </si>
  <si>
    <t>3519955</t>
  </si>
  <si>
    <t>3034441</t>
  </si>
  <si>
    <t>8840902</t>
  </si>
  <si>
    <t>1r01495</t>
  </si>
  <si>
    <t>0001779</t>
  </si>
  <si>
    <t>3725114</t>
  </si>
  <si>
    <t>2616018</t>
  </si>
  <si>
    <t>9003019</t>
  </si>
  <si>
    <t>3673086</t>
  </si>
  <si>
    <t>0130372</t>
  </si>
  <si>
    <t>2265462</t>
  </si>
  <si>
    <t>0000303</t>
  </si>
  <si>
    <t>1810403</t>
  </si>
  <si>
    <t>4000207</t>
  </si>
  <si>
    <t>0000224</t>
  </si>
  <si>
    <t>0004705</t>
  </si>
  <si>
    <t>7282513</t>
  </si>
  <si>
    <t>0003792</t>
  </si>
  <si>
    <t>0003726</t>
  </si>
  <si>
    <t>7730900</t>
  </si>
  <si>
    <t>0979912</t>
  </si>
  <si>
    <t>0008684</t>
  </si>
  <si>
    <t>5813112</t>
  </si>
  <si>
    <t>7R20003</t>
  </si>
  <si>
    <t>9009578</t>
  </si>
  <si>
    <t>0000593</t>
  </si>
  <si>
    <t>3074278</t>
  </si>
  <si>
    <t>0004706</t>
  </si>
  <si>
    <t>6289688</t>
  </si>
  <si>
    <t>3777037</t>
  </si>
  <si>
    <t>1243890</t>
  </si>
  <si>
    <t>3338916</t>
  </si>
  <si>
    <t>6R21038</t>
  </si>
  <si>
    <t>MOHAMED BEN MOHAMED KAYEL</t>
  </si>
  <si>
    <t>0002154</t>
  </si>
  <si>
    <t>2963729</t>
  </si>
  <si>
    <t>6470204</t>
  </si>
  <si>
    <t>1810401</t>
  </si>
  <si>
    <t>9358517</t>
  </si>
  <si>
    <t>0001978</t>
  </si>
  <si>
    <t>6562351</t>
  </si>
  <si>
    <t>2162678</t>
  </si>
  <si>
    <t>8502125</t>
  </si>
  <si>
    <t>8876502</t>
  </si>
  <si>
    <t>3072349</t>
  </si>
  <si>
    <t>2946098</t>
  </si>
  <si>
    <t>0000829</t>
  </si>
  <si>
    <t>3389467</t>
  </si>
  <si>
    <t>9045176</t>
  </si>
  <si>
    <t>7313957</t>
  </si>
  <si>
    <t>7313956</t>
  </si>
  <si>
    <t>0102968</t>
  </si>
  <si>
    <t>8077384</t>
  </si>
  <si>
    <t>2985669</t>
  </si>
  <si>
    <t>0001039</t>
  </si>
  <si>
    <t>0954326</t>
  </si>
  <si>
    <t>3255286</t>
  </si>
  <si>
    <t>7214520</t>
  </si>
  <si>
    <t>0001021</t>
  </si>
  <si>
    <t>8170709</t>
  </si>
  <si>
    <t>1178102</t>
  </si>
  <si>
    <t>3278859</t>
  </si>
  <si>
    <t>3515762</t>
  </si>
  <si>
    <t>8613678</t>
  </si>
  <si>
    <t>0000022</t>
  </si>
  <si>
    <t>0005695</t>
  </si>
  <si>
    <t>7728074</t>
  </si>
  <si>
    <t>0058951</t>
  </si>
  <si>
    <t>2950261</t>
  </si>
  <si>
    <t>0968510</t>
  </si>
  <si>
    <t>8119209</t>
  </si>
  <si>
    <t>0059846</t>
  </si>
  <si>
    <t>0086911</t>
  </si>
  <si>
    <t>8283820</t>
  </si>
  <si>
    <t>8254714</t>
  </si>
  <si>
    <t>0000765</t>
  </si>
  <si>
    <t>0002953</t>
  </si>
  <si>
    <t>1172248</t>
  </si>
  <si>
    <t>5381297</t>
  </si>
  <si>
    <t>0000698</t>
  </si>
  <si>
    <t>0004700</t>
  </si>
  <si>
    <t>0872009</t>
  </si>
  <si>
    <t>0001781</t>
  </si>
  <si>
    <t>0005706</t>
  </si>
  <si>
    <t>4000420</t>
  </si>
  <si>
    <t>0187185</t>
  </si>
  <si>
    <t>4628197</t>
  </si>
  <si>
    <t>8193981</t>
  </si>
  <si>
    <t>0001107</t>
  </si>
  <si>
    <t>0056127</t>
  </si>
  <si>
    <t>4001743</t>
  </si>
  <si>
    <t>0000071</t>
  </si>
  <si>
    <t>0841711</t>
  </si>
  <si>
    <t>8924991</t>
  </si>
  <si>
    <t>0057551</t>
  </si>
  <si>
    <t>2028182</t>
  </si>
  <si>
    <t>5597441</t>
  </si>
  <si>
    <t>1529342</t>
  </si>
  <si>
    <t>8243806</t>
  </si>
  <si>
    <t>7275758</t>
  </si>
  <si>
    <t>2046630</t>
  </si>
  <si>
    <t>0887874</t>
  </si>
  <si>
    <t>5352765</t>
  </si>
  <si>
    <t>0004040</t>
  </si>
  <si>
    <t>0004707</t>
  </si>
  <si>
    <t>2849445</t>
  </si>
  <si>
    <t>0003037</t>
  </si>
  <si>
    <t>6518881</t>
  </si>
  <si>
    <t>0969138</t>
  </si>
  <si>
    <t>4000559</t>
  </si>
  <si>
    <t>6303218</t>
  </si>
  <si>
    <t>4002164</t>
  </si>
  <si>
    <t>5716282</t>
  </si>
  <si>
    <t>0000662</t>
  </si>
  <si>
    <t>0000569</t>
  </si>
  <si>
    <t>0000215</t>
  </si>
  <si>
    <t>0000081</t>
  </si>
  <si>
    <t>3655778</t>
  </si>
  <si>
    <t>4715183</t>
  </si>
  <si>
    <t>8320193</t>
  </si>
  <si>
    <t>2934857</t>
  </si>
  <si>
    <t>5124266</t>
  </si>
  <si>
    <t>3256110</t>
  </si>
  <si>
    <t>0102270</t>
  </si>
  <si>
    <t>0000839</t>
  </si>
  <si>
    <t>0002960</t>
  </si>
  <si>
    <t>0061547</t>
  </si>
  <si>
    <t>2014702</t>
  </si>
  <si>
    <t>0065704</t>
  </si>
  <si>
    <t>7644817</t>
  </si>
  <si>
    <t>0005365</t>
  </si>
  <si>
    <t>2383638</t>
  </si>
  <si>
    <t>7073450</t>
  </si>
  <si>
    <t>8687262</t>
  </si>
  <si>
    <t>1694754</t>
  </si>
  <si>
    <t>1216527</t>
  </si>
  <si>
    <t>8686264</t>
  </si>
  <si>
    <t>0130383</t>
  </si>
  <si>
    <t>1294104</t>
  </si>
  <si>
    <t>1431685</t>
  </si>
  <si>
    <t>8659466</t>
  </si>
  <si>
    <t>4000772</t>
  </si>
  <si>
    <t>9188350</t>
  </si>
  <si>
    <t>0002212</t>
  </si>
  <si>
    <t>6223321</t>
  </si>
  <si>
    <t>0001497</t>
  </si>
  <si>
    <t>7831588</t>
  </si>
  <si>
    <t>6598606</t>
  </si>
  <si>
    <t>8570588</t>
  </si>
  <si>
    <t>0001299</t>
  </si>
  <si>
    <t>0000304</t>
  </si>
  <si>
    <t>0000033</t>
  </si>
  <si>
    <t>0902993</t>
  </si>
  <si>
    <t>1370275</t>
  </si>
  <si>
    <t>3519956</t>
  </si>
  <si>
    <t>3164748</t>
  </si>
  <si>
    <t>7940419</t>
  </si>
  <si>
    <t>0000191</t>
  </si>
  <si>
    <t>0000452</t>
  </si>
  <si>
    <t>1R05159</t>
  </si>
  <si>
    <t>0304035</t>
  </si>
  <si>
    <t>1R01010</t>
  </si>
  <si>
    <t>TRABELSI JAMEL</t>
  </si>
  <si>
    <t>0001033</t>
  </si>
  <si>
    <t>0003867</t>
  </si>
  <si>
    <t>4001105</t>
  </si>
  <si>
    <t>1224905</t>
  </si>
  <si>
    <t>1r01578</t>
  </si>
  <si>
    <t>6676532</t>
  </si>
  <si>
    <t>3725115</t>
  </si>
  <si>
    <t>4R12024</t>
  </si>
  <si>
    <t>SALAH MHIRI</t>
  </si>
  <si>
    <t>1464927</t>
  </si>
  <si>
    <t>0414747</t>
  </si>
  <si>
    <t>4R12254</t>
  </si>
  <si>
    <t>4000715</t>
  </si>
  <si>
    <t>0029683</t>
  </si>
  <si>
    <t>8715486</t>
  </si>
  <si>
    <t>3788759</t>
  </si>
  <si>
    <t>0000289</t>
  </si>
  <si>
    <t>4000200</t>
  </si>
  <si>
    <t>0000774</t>
  </si>
  <si>
    <t>2265463</t>
  </si>
  <si>
    <t>8517788</t>
  </si>
  <si>
    <t>0001559</t>
  </si>
  <si>
    <t>0000844</t>
  </si>
  <si>
    <t>8840233</t>
  </si>
  <si>
    <t>1909128</t>
  </si>
  <si>
    <t>3673087</t>
  </si>
  <si>
    <t>3146320</t>
  </si>
  <si>
    <t>0004321</t>
  </si>
  <si>
    <t>0005512</t>
  </si>
  <si>
    <t>0000233</t>
  </si>
  <si>
    <t>3725116</t>
  </si>
  <si>
    <t>0003793</t>
  </si>
  <si>
    <t>0000290</t>
  </si>
  <si>
    <t>0098566</t>
  </si>
  <si>
    <t>0001516</t>
  </si>
  <si>
    <t>2557526</t>
  </si>
  <si>
    <t>0041153</t>
  </si>
  <si>
    <t>8077383</t>
  </si>
  <si>
    <t>3278860</t>
  </si>
  <si>
    <t>0091772</t>
  </si>
  <si>
    <t>0004672</t>
  </si>
  <si>
    <t>0001731</t>
  </si>
  <si>
    <t>0056128</t>
  </si>
  <si>
    <t>0001118</t>
  </si>
  <si>
    <t>0000159</t>
  </si>
  <si>
    <t>0000679</t>
  </si>
  <si>
    <t>0014672</t>
  </si>
  <si>
    <t>8343863</t>
  </si>
  <si>
    <t>5457150</t>
  </si>
  <si>
    <t>7232697</t>
  </si>
  <si>
    <t>1429948</t>
  </si>
  <si>
    <t>0008685</t>
  </si>
  <si>
    <t>8750722</t>
  </si>
  <si>
    <t>0000146</t>
  </si>
  <si>
    <t>3663283</t>
  </si>
  <si>
    <t>3292067</t>
  </si>
  <si>
    <t>8R09079</t>
  </si>
  <si>
    <t>3015396</t>
  </si>
  <si>
    <t>0003794</t>
  </si>
  <si>
    <t>0000075</t>
  </si>
  <si>
    <t>1161833</t>
  </si>
  <si>
    <t>7515149</t>
  </si>
  <si>
    <t>0002010</t>
  </si>
  <si>
    <t>1390889</t>
  </si>
  <si>
    <t>6479803</t>
  </si>
  <si>
    <t>0004701</t>
  </si>
  <si>
    <t>0000292</t>
  </si>
  <si>
    <t>9022403</t>
  </si>
  <si>
    <t>3777035</t>
  </si>
  <si>
    <t>0004260</t>
  </si>
  <si>
    <t>8517789</t>
  </si>
  <si>
    <t>9003022</t>
  </si>
  <si>
    <t>0003759</t>
  </si>
  <si>
    <t>0165185</t>
  </si>
  <si>
    <t>8119214</t>
  </si>
  <si>
    <t>8630274</t>
  </si>
  <si>
    <t>6888720</t>
  </si>
  <si>
    <t>0001560</t>
  </si>
  <si>
    <t>7940420</t>
  </si>
  <si>
    <t>3725117</t>
  </si>
  <si>
    <t>9440779</t>
  </si>
  <si>
    <t>7100976</t>
  </si>
  <si>
    <t>8207003</t>
  </si>
  <si>
    <t>0003795</t>
  </si>
  <si>
    <t>3673157</t>
  </si>
  <si>
    <t>0743987</t>
  </si>
  <si>
    <t>0000225</t>
  </si>
  <si>
    <t>0002954</t>
  </si>
  <si>
    <t>0001078</t>
  </si>
  <si>
    <t>0000293</t>
  </si>
  <si>
    <t>5667757</t>
  </si>
  <si>
    <t>0004041</t>
  </si>
  <si>
    <t>9022438</t>
  </si>
  <si>
    <t>8687263</t>
  </si>
  <si>
    <t>0008764</t>
  </si>
  <si>
    <t>0000103</t>
  </si>
  <si>
    <t>3663284</t>
  </si>
  <si>
    <t>1909223</t>
  </si>
  <si>
    <t>8830728</t>
  </si>
  <si>
    <t>8170726</t>
  </si>
  <si>
    <t>2902249</t>
  </si>
  <si>
    <t>0000831</t>
  </si>
  <si>
    <t>9009579</t>
  </si>
  <si>
    <t>0004077</t>
  </si>
  <si>
    <t>0000600</t>
  </si>
  <si>
    <t>2934224</t>
  </si>
  <si>
    <t>6r21038</t>
  </si>
  <si>
    <t>0002155</t>
  </si>
  <si>
    <t>0064192</t>
  </si>
  <si>
    <t>0003755</t>
  </si>
  <si>
    <t>0000160</t>
  </si>
  <si>
    <t>0004065</t>
  </si>
  <si>
    <t>0003107</t>
  </si>
  <si>
    <t>2155619</t>
  </si>
  <si>
    <t>8383987</t>
  </si>
  <si>
    <t>0000896</t>
  </si>
  <si>
    <t>0005661</t>
  </si>
  <si>
    <t>0069483</t>
  </si>
  <si>
    <t>0004322</t>
  </si>
  <si>
    <t>0000305</t>
  </si>
  <si>
    <t>0002011</t>
  </si>
  <si>
    <t>1390890</t>
  </si>
  <si>
    <t>0001602</t>
  </si>
  <si>
    <t>2018486</t>
  </si>
  <si>
    <t>9358518</t>
  </si>
  <si>
    <t>2162679</t>
  </si>
  <si>
    <t>1323606</t>
  </si>
  <si>
    <t>8119215</t>
  </si>
  <si>
    <t>0000246</t>
  </si>
  <si>
    <t>0004722</t>
  </si>
  <si>
    <t>0001926</t>
  </si>
  <si>
    <t>0000167</t>
  </si>
  <si>
    <t>0000200</t>
  </si>
  <si>
    <t>7275789</t>
  </si>
  <si>
    <t>8660427</t>
  </si>
  <si>
    <t>6303219</t>
  </si>
  <si>
    <t>0102271</t>
  </si>
  <si>
    <t>7729757</t>
  </si>
  <si>
    <t>8687264</t>
  </si>
  <si>
    <t>0001064</t>
  </si>
  <si>
    <t>0001112</t>
  </si>
  <si>
    <t>3103964</t>
  </si>
  <si>
    <t>8235384</t>
  </si>
  <si>
    <t>8750723</t>
  </si>
  <si>
    <t>1796211</t>
  </si>
  <si>
    <t>8697783</t>
  </si>
  <si>
    <t>8570589</t>
  </si>
  <si>
    <t>0902994</t>
  </si>
  <si>
    <t>2442291</t>
  </si>
  <si>
    <t>3663285</t>
  </si>
  <si>
    <t>0794021</t>
  </si>
  <si>
    <t>1r02150</t>
  </si>
  <si>
    <t>6410730</t>
  </si>
  <si>
    <t>0003868</t>
  </si>
  <si>
    <t>2902250</t>
  </si>
  <si>
    <t>0003796</t>
  </si>
  <si>
    <t>3777036</t>
  </si>
  <si>
    <t>3725118</t>
  </si>
  <si>
    <t>0003752</t>
  </si>
  <si>
    <t>0005262</t>
  </si>
  <si>
    <t>0004575</t>
  </si>
  <si>
    <t>8573453</t>
  </si>
  <si>
    <t>0008765</t>
  </si>
  <si>
    <t>3146321</t>
  </si>
  <si>
    <t>0000599</t>
  </si>
  <si>
    <t>0001330</t>
  </si>
  <si>
    <t>3673158</t>
  </si>
  <si>
    <t>1390891</t>
  </si>
  <si>
    <t>0004574</t>
  </si>
  <si>
    <t>0075222</t>
  </si>
  <si>
    <t>2896699</t>
  </si>
  <si>
    <t>6R21162</t>
  </si>
  <si>
    <t>9503392</t>
  </si>
  <si>
    <t>0003797</t>
  </si>
  <si>
    <t>9358519</t>
  </si>
  <si>
    <t>0034589</t>
  </si>
  <si>
    <t>7549379</t>
  </si>
  <si>
    <t>0002987</t>
  </si>
  <si>
    <t>0531483</t>
  </si>
  <si>
    <t>0001761</t>
  </si>
  <si>
    <t>0839887</t>
  </si>
  <si>
    <t>0003106</t>
  </si>
  <si>
    <t>0207542</t>
  </si>
  <si>
    <t>3489118</t>
  </si>
  <si>
    <t>8687265</t>
  </si>
  <si>
    <t>0000108</t>
  </si>
  <si>
    <t>3663286</t>
  </si>
  <si>
    <t>1R05208</t>
  </si>
  <si>
    <t>0000771</t>
  </si>
  <si>
    <t>7380643</t>
  </si>
  <si>
    <t>8170727</t>
  </si>
  <si>
    <t>2902251</t>
  </si>
  <si>
    <t>0002012</t>
  </si>
  <si>
    <t>0001603</t>
  </si>
  <si>
    <t>0004573</t>
  </si>
  <si>
    <t>0000711</t>
  </si>
  <si>
    <t>8830729</t>
  </si>
  <si>
    <t>8119216</t>
  </si>
  <si>
    <t>0004061</t>
  </si>
  <si>
    <t>3686881</t>
  </si>
  <si>
    <t>0004626</t>
  </si>
  <si>
    <t>3464730</t>
  </si>
  <si>
    <t>7940422</t>
  </si>
  <si>
    <t>3725119</t>
  </si>
  <si>
    <t>0001925</t>
  </si>
  <si>
    <t>0008766</t>
  </si>
  <si>
    <t>0003798</t>
  </si>
  <si>
    <t>3146322</t>
  </si>
  <si>
    <t>7515150</t>
  </si>
  <si>
    <t>9358520</t>
  </si>
  <si>
    <t>2946109</t>
  </si>
  <si>
    <t>7549378</t>
  </si>
  <si>
    <t>4697666</t>
  </si>
  <si>
    <t>0042071</t>
  </si>
  <si>
    <t>0004627</t>
  </si>
  <si>
    <t>7852435</t>
  </si>
  <si>
    <t>3552785</t>
  </si>
  <si>
    <t>2577527</t>
  </si>
  <si>
    <t>0005441</t>
  </si>
  <si>
    <t>7073462</t>
  </si>
  <si>
    <t>8750724</t>
  </si>
  <si>
    <t>3663287</t>
  </si>
  <si>
    <t>0979272</t>
  </si>
  <si>
    <t>2902252</t>
  </si>
  <si>
    <t>1557312</t>
  </si>
  <si>
    <t>6r21155</t>
  </si>
  <si>
    <t>0000017</t>
  </si>
  <si>
    <t>0003753</t>
  </si>
  <si>
    <t>0075223</t>
  </si>
  <si>
    <t>0003799</t>
  </si>
  <si>
    <t>0001604</t>
  </si>
  <si>
    <t>0004628</t>
  </si>
  <si>
    <t>9022404</t>
  </si>
  <si>
    <t>9000952</t>
  </si>
  <si>
    <t>7282523</t>
  </si>
  <si>
    <t>0000307</t>
  </si>
  <si>
    <t>0002013</t>
  </si>
  <si>
    <t>7100977</t>
  </si>
  <si>
    <t>8398478</t>
  </si>
  <si>
    <t>0979925</t>
  </si>
  <si>
    <t>0004323</t>
  </si>
  <si>
    <t>0004629</t>
  </si>
  <si>
    <t>0001331</t>
  </si>
  <si>
    <t>3489119</t>
  </si>
  <si>
    <t>0005513</t>
  </si>
  <si>
    <t>3464731</t>
  </si>
  <si>
    <t>3146323</t>
  </si>
  <si>
    <t>8876507</t>
  </si>
  <si>
    <t>7313959</t>
  </si>
  <si>
    <t>7313958</t>
  </si>
  <si>
    <t>3074240</t>
  </si>
  <si>
    <t>7214519</t>
  </si>
  <si>
    <t>0001035</t>
  </si>
  <si>
    <t>1178106</t>
  </si>
  <si>
    <t>0005714</t>
  </si>
  <si>
    <t>0001043</t>
  </si>
  <si>
    <t>0065506</t>
  </si>
  <si>
    <t>4697667</t>
  </si>
  <si>
    <t>4001885</t>
  </si>
  <si>
    <t>0005957</t>
  </si>
  <si>
    <t>0057558</t>
  </si>
  <si>
    <t>0000201</t>
  </si>
  <si>
    <t>1R04098</t>
  </si>
  <si>
    <t>1829346</t>
  </si>
  <si>
    <t>7275790</t>
  </si>
  <si>
    <t>8651747</t>
  </si>
  <si>
    <t>0003105</t>
  </si>
  <si>
    <t>6518919</t>
  </si>
  <si>
    <t>1R05181</t>
  </si>
  <si>
    <t>0969173</t>
  </si>
  <si>
    <t>4002177</t>
  </si>
  <si>
    <t>8985447</t>
  </si>
  <si>
    <t>3655779</t>
  </si>
  <si>
    <t>6742816</t>
  </si>
  <si>
    <t>0002961</t>
  </si>
  <si>
    <t>0062530</t>
  </si>
  <si>
    <t>9125687</t>
  </si>
  <si>
    <t>7729775</t>
  </si>
  <si>
    <t>1431696</t>
  </si>
  <si>
    <t>8659462</t>
  </si>
  <si>
    <t>3292063</t>
  </si>
  <si>
    <t>7071979</t>
  </si>
  <si>
    <t>7831598</t>
  </si>
  <si>
    <t>8697784</t>
  </si>
  <si>
    <t>8448331</t>
  </si>
  <si>
    <t>0000910</t>
  </si>
  <si>
    <t>0000114</t>
  </si>
  <si>
    <t>1r02250</t>
  </si>
  <si>
    <t>STE GAMA AUTO</t>
  </si>
  <si>
    <t>0004051</t>
  </si>
  <si>
    <t>0001034</t>
  </si>
  <si>
    <t>5381298</t>
  </si>
  <si>
    <t>1R05209</t>
  </si>
  <si>
    <t>5822016</t>
  </si>
  <si>
    <t>0001123</t>
  </si>
  <si>
    <t>0578128</t>
  </si>
  <si>
    <t>4r14050</t>
  </si>
  <si>
    <t>2055807</t>
  </si>
  <si>
    <t>8R06003</t>
  </si>
  <si>
    <t>ZIED BEN ALI MABROUKI</t>
  </si>
  <si>
    <t>2715181</t>
  </si>
  <si>
    <t>1496331</t>
  </si>
  <si>
    <t>6470219</t>
  </si>
  <si>
    <t>0003800</t>
  </si>
  <si>
    <t>2162694</t>
  </si>
  <si>
    <t>0448122</t>
  </si>
  <si>
    <t>7R19070</t>
  </si>
  <si>
    <t>0034599</t>
  </si>
  <si>
    <t>3673159</t>
  </si>
  <si>
    <t>0003754</t>
  </si>
  <si>
    <t>5702532</t>
  </si>
  <si>
    <t>9045177</t>
  </si>
  <si>
    <t>8860566</t>
  </si>
  <si>
    <t>1241261</t>
  </si>
  <si>
    <t>0002986</t>
  </si>
  <si>
    <t>8313523</t>
  </si>
  <si>
    <t>0056139</t>
  </si>
  <si>
    <t>5352786</t>
  </si>
  <si>
    <t>0003202</t>
  </si>
  <si>
    <t>0000439</t>
  </si>
  <si>
    <t>1369714</t>
  </si>
  <si>
    <t>0005442</t>
  </si>
  <si>
    <t>0000700</t>
  </si>
  <si>
    <t>8573454</t>
  </si>
  <si>
    <t>1216545</t>
  </si>
  <si>
    <t>0001113</t>
  </si>
  <si>
    <t>0008767</t>
  </si>
  <si>
    <t>1431727</t>
  </si>
  <si>
    <t>8750725</t>
  </si>
  <si>
    <t>7940415</t>
  </si>
  <si>
    <t>1R05217</t>
  </si>
  <si>
    <t>4000298</t>
  </si>
  <si>
    <t>0000787</t>
  </si>
  <si>
    <t>0001271</t>
  </si>
  <si>
    <t>1r05200</t>
  </si>
  <si>
    <t>0000677</t>
  </si>
  <si>
    <t>1r01561</t>
  </si>
  <si>
    <t>0000113</t>
  </si>
  <si>
    <t>1909225</t>
  </si>
  <si>
    <t>1294121</t>
  </si>
  <si>
    <t>3725120</t>
  </si>
  <si>
    <t>2383656</t>
  </si>
  <si>
    <t>8830730</t>
  </si>
  <si>
    <t>0001629</t>
  </si>
  <si>
    <t>0954347</t>
  </si>
  <si>
    <t>8170728</t>
  </si>
  <si>
    <t>2902253</t>
  </si>
  <si>
    <t>6562379</t>
  </si>
  <si>
    <t>3788757</t>
  </si>
  <si>
    <t>2985691</t>
  </si>
  <si>
    <t>0005588</t>
  </si>
  <si>
    <t>8517812</t>
  </si>
  <si>
    <t>0000089</t>
  </si>
  <si>
    <t>3146324</t>
  </si>
  <si>
    <t>0001605</t>
  </si>
  <si>
    <t>0015754</t>
  </si>
  <si>
    <t>0002014</t>
  </si>
  <si>
    <t>6117245</t>
  </si>
  <si>
    <t>0000540</t>
  </si>
  <si>
    <t>0000477</t>
  </si>
  <si>
    <t>1156357</t>
  </si>
  <si>
    <t>6888025</t>
  </si>
  <si>
    <t>0004062</t>
  </si>
  <si>
    <t>0000743</t>
  </si>
  <si>
    <t>0001114</t>
  </si>
  <si>
    <t>1426179</t>
  </si>
  <si>
    <t>2902254</t>
  </si>
  <si>
    <t>0000701</t>
  </si>
  <si>
    <t>1557315</t>
  </si>
  <si>
    <t>6960021</t>
  </si>
  <si>
    <t>3725121</t>
  </si>
  <si>
    <t>6788515</t>
  </si>
  <si>
    <t>2950269</t>
  </si>
  <si>
    <t>8630283</t>
  </si>
  <si>
    <t>0001606</t>
  </si>
  <si>
    <t>0008768</t>
  </si>
  <si>
    <t>3673160</t>
  </si>
  <si>
    <t>2946110</t>
  </si>
  <si>
    <t>8119218</t>
  </si>
  <si>
    <t>0000541</t>
  </si>
  <si>
    <t>8868493</t>
  </si>
  <si>
    <t>0000202</t>
  </si>
  <si>
    <t>9022439</t>
  </si>
  <si>
    <t>0001467</t>
  </si>
  <si>
    <t>8573473</t>
  </si>
  <si>
    <t>0000489</t>
  </si>
  <si>
    <t>0001115</t>
  </si>
  <si>
    <t>8448332</t>
  </si>
  <si>
    <t>0000109</t>
  </si>
  <si>
    <t>8290719</t>
  </si>
  <si>
    <t>1941997</t>
  </si>
  <si>
    <t>8958772</t>
  </si>
  <si>
    <t>9009580</t>
  </si>
  <si>
    <t>0002015</t>
  </si>
  <si>
    <t>0008769</t>
  </si>
  <si>
    <t>8744830</t>
  </si>
  <si>
    <t>0000601</t>
  </si>
  <si>
    <t>7100979</t>
  </si>
  <si>
    <t>0003204</t>
  </si>
  <si>
    <t>0000911</t>
  </si>
  <si>
    <t>6960022</t>
  </si>
  <si>
    <t>3725122</t>
  </si>
  <si>
    <t>0008770</t>
  </si>
  <si>
    <t>1557314</t>
  </si>
  <si>
    <t>2018487</t>
  </si>
  <si>
    <t>9045189</t>
  </si>
  <si>
    <t>3074241</t>
  </si>
  <si>
    <t>0000203</t>
  </si>
  <si>
    <t>0001469</t>
  </si>
  <si>
    <t>0001464</t>
  </si>
  <si>
    <t>6405325</t>
  </si>
  <si>
    <t>8235400</t>
  </si>
  <si>
    <t>7831599</t>
  </si>
  <si>
    <t>7549377</t>
  </si>
  <si>
    <t>0004063</t>
  </si>
  <si>
    <t>0008771</t>
  </si>
  <si>
    <t>3673161</t>
  </si>
  <si>
    <t>0008772</t>
  </si>
  <si>
    <t>1557313</t>
  </si>
  <si>
    <t>0000602</t>
  </si>
  <si>
    <t>8119219</t>
  </si>
  <si>
    <t>0000557</t>
  </si>
  <si>
    <t>4697686</t>
  </si>
  <si>
    <t>0003203</t>
  </si>
  <si>
    <t>8939253</t>
  </si>
  <si>
    <t>0000110</t>
  </si>
  <si>
    <t>8290720</t>
  </si>
  <si>
    <t>0000279</t>
  </si>
  <si>
    <t>8958773</t>
  </si>
  <si>
    <t>0002059</t>
  </si>
  <si>
    <t>0000702</t>
  </si>
  <si>
    <t>9009581</t>
  </si>
  <si>
    <t>7100980</t>
  </si>
  <si>
    <t>0008773</t>
  </si>
  <si>
    <t>8401334</t>
  </si>
  <si>
    <t>9022405</t>
  </si>
  <si>
    <t>1r04146</t>
  </si>
  <si>
    <t>7043715</t>
  </si>
  <si>
    <t>0000603</t>
  </si>
  <si>
    <t>2946111</t>
  </si>
  <si>
    <t>1r02235</t>
  </si>
  <si>
    <t>0069489</t>
  </si>
  <si>
    <t>0001465</t>
  </si>
  <si>
    <t>2577528</t>
  </si>
  <si>
    <t>0005501</t>
  </si>
  <si>
    <t>7232695</t>
  </si>
  <si>
    <t>8290721</t>
  </si>
  <si>
    <t>0979273</t>
  </si>
  <si>
    <t>0008774</t>
  </si>
  <si>
    <t>8545107</t>
  </si>
  <si>
    <t>3673162</t>
  </si>
  <si>
    <t>0008775</t>
  </si>
  <si>
    <t>1R05071</t>
  </si>
  <si>
    <t>0004115</t>
  </si>
  <si>
    <t>6960023</t>
  </si>
  <si>
    <t>3146251</t>
  </si>
  <si>
    <t>0000604</t>
  </si>
  <si>
    <t>1241290</t>
  </si>
  <si>
    <t>7100978</t>
  </si>
  <si>
    <t>8119220</t>
  </si>
  <si>
    <t>0000558</t>
  </si>
  <si>
    <t>4697687</t>
  </si>
  <si>
    <t>0057563</t>
  </si>
  <si>
    <t>0003337</t>
  </si>
  <si>
    <t>0003201</t>
  </si>
  <si>
    <t>1R05203</t>
  </si>
  <si>
    <t>0000631</t>
  </si>
  <si>
    <t>0005502</t>
  </si>
  <si>
    <t>8573474</t>
  </si>
  <si>
    <t>0001117</t>
  </si>
  <si>
    <t>0008800</t>
  </si>
  <si>
    <t>2896700</t>
  </si>
  <si>
    <t>8939251</t>
  </si>
  <si>
    <t>8448330</t>
  </si>
  <si>
    <t>1R04105</t>
  </si>
  <si>
    <t>8695881</t>
  </si>
  <si>
    <t>5381299</t>
  </si>
  <si>
    <t>1871533</t>
  </si>
  <si>
    <t>8313540</t>
  </si>
  <si>
    <t>0000238</t>
  </si>
  <si>
    <t>2060866</t>
  </si>
  <si>
    <t>0000707</t>
  </si>
  <si>
    <t>8958774</t>
  </si>
  <si>
    <t>8939260</t>
  </si>
  <si>
    <t>4R13126</t>
  </si>
  <si>
    <t>JAMMALI SAHBI</t>
  </si>
  <si>
    <t>5781241</t>
  </si>
  <si>
    <t>7407923</t>
  </si>
  <si>
    <t>0001038</t>
  </si>
  <si>
    <t>1496332</t>
  </si>
  <si>
    <t>9009582</t>
  </si>
  <si>
    <t>8290722</t>
  </si>
  <si>
    <t>0004064</t>
  </si>
  <si>
    <t>9022406</t>
  </si>
  <si>
    <t>0015575</t>
  </si>
  <si>
    <t>1r04055</t>
  </si>
  <si>
    <t>STE ELECTRO-MECANIQUE</t>
  </si>
  <si>
    <t>1221893</t>
  </si>
  <si>
    <t>0001120</t>
  </si>
  <si>
    <t>3146347</t>
  </si>
  <si>
    <t>1r01567</t>
  </si>
  <si>
    <t>6788527</t>
  </si>
  <si>
    <t>0000560</t>
  </si>
  <si>
    <t>0001466</t>
  </si>
  <si>
    <t>8401335</t>
  </si>
  <si>
    <t>0000239</t>
  </si>
  <si>
    <t>8958775</t>
  </si>
  <si>
    <t>5781242</t>
  </si>
  <si>
    <t>0003268</t>
  </si>
  <si>
    <t>3146348</t>
  </si>
  <si>
    <t>3146270</t>
  </si>
  <si>
    <t>8119221</t>
  </si>
  <si>
    <t>0005656</t>
  </si>
  <si>
    <t>7232671</t>
  </si>
  <si>
    <t>8939252</t>
  </si>
  <si>
    <t>0000240</t>
  </si>
  <si>
    <t>0000897</t>
  </si>
  <si>
    <t>0004066</t>
  </si>
  <si>
    <t>8573475</t>
  </si>
  <si>
    <t>0003269</t>
  </si>
  <si>
    <t>3146349</t>
  </si>
  <si>
    <t>0001119</t>
  </si>
  <si>
    <t>0000280</t>
  </si>
  <si>
    <t>4r12262</t>
  </si>
  <si>
    <t>8958776</t>
  </si>
  <si>
    <t>0092423</t>
  </si>
  <si>
    <t>8119222</t>
  </si>
  <si>
    <t>7729774</t>
  </si>
  <si>
    <t>3146271</t>
  </si>
  <si>
    <t>3146350</t>
  </si>
  <si>
    <t>8545115</t>
  </si>
  <si>
    <t>0000923</t>
  </si>
  <si>
    <t>5735566</t>
  </si>
  <si>
    <t>0092424</t>
  </si>
  <si>
    <t>3146272</t>
  </si>
  <si>
    <t>3146273</t>
  </si>
  <si>
    <t>3146274</t>
  </si>
  <si>
    <t>3146275</t>
  </si>
  <si>
    <t>3146276</t>
  </si>
  <si>
    <t>3R18140</t>
  </si>
  <si>
    <t>6R21048</t>
  </si>
  <si>
    <t>AMOR B.SADEK AOUDH</t>
  </si>
  <si>
    <t>1R03030</t>
  </si>
  <si>
    <t>00012452</t>
  </si>
  <si>
    <t>00012451</t>
  </si>
  <si>
    <t>00012450</t>
  </si>
  <si>
    <t>00012449</t>
  </si>
  <si>
    <t>00012446</t>
  </si>
  <si>
    <t>00012445</t>
  </si>
  <si>
    <t>00012444</t>
  </si>
  <si>
    <t>00012443</t>
  </si>
  <si>
    <t>00012442</t>
  </si>
  <si>
    <t>00012441</t>
  </si>
  <si>
    <t>00012440</t>
  </si>
  <si>
    <t>00012439</t>
  </si>
  <si>
    <t>00012438</t>
  </si>
  <si>
    <t>00012437</t>
  </si>
  <si>
    <t>00012436</t>
  </si>
  <si>
    <t>00012435</t>
  </si>
  <si>
    <t>00012434</t>
  </si>
  <si>
    <t>00012433</t>
  </si>
  <si>
    <t>00012432</t>
  </si>
  <si>
    <t>00012431</t>
  </si>
  <si>
    <t>00012430</t>
  </si>
  <si>
    <t>00012429</t>
  </si>
  <si>
    <t>00012428</t>
  </si>
  <si>
    <t>00012427</t>
  </si>
  <si>
    <t>00012426</t>
  </si>
  <si>
    <t>00012425</t>
  </si>
  <si>
    <t>0002399</t>
  </si>
  <si>
    <t>0002398</t>
  </si>
  <si>
    <t>0002397</t>
  </si>
  <si>
    <t>0002396</t>
  </si>
  <si>
    <t>0002393</t>
  </si>
  <si>
    <t>0002392</t>
  </si>
  <si>
    <t>0002391</t>
  </si>
  <si>
    <t>0002390</t>
  </si>
  <si>
    <t>0002389</t>
  </si>
  <si>
    <t>0002388</t>
  </si>
  <si>
    <t>0002387</t>
  </si>
  <si>
    <t>0002386</t>
  </si>
  <si>
    <t>0002385</t>
  </si>
  <si>
    <t>0002384</t>
  </si>
  <si>
    <t>TR01382</t>
  </si>
  <si>
    <t>TR01381</t>
  </si>
  <si>
    <t>0002383</t>
  </si>
  <si>
    <t>0002382</t>
  </si>
  <si>
    <t>TR01380</t>
  </si>
  <si>
    <t>0002381</t>
  </si>
  <si>
    <t>TR01379</t>
  </si>
  <si>
    <t>0002380</t>
  </si>
  <si>
    <t>TR01378</t>
  </si>
  <si>
    <t>0002379</t>
  </si>
  <si>
    <t>TR01377</t>
  </si>
  <si>
    <t>TR01376</t>
  </si>
  <si>
    <t>TECHNIC SERVICES PNEUS</t>
  </si>
  <si>
    <t>FOURNISSEURS ACHATS</t>
  </si>
  <si>
    <t>ETAP</t>
  </si>
  <si>
    <t>STIRELEC COMMERCE</t>
  </si>
  <si>
    <t>STE EL WAHRA DES TRX PUBLIC</t>
  </si>
  <si>
    <t>SOCIETE REVOLON</t>
  </si>
  <si>
    <t>EL WIFEK</t>
  </si>
  <si>
    <t>UNIVERS AUTOMATISME</t>
  </si>
  <si>
    <t>COMMUNE ZRIBA</t>
  </si>
  <si>
    <t>00006464</t>
  </si>
  <si>
    <t>00006463</t>
  </si>
  <si>
    <t>00006462</t>
  </si>
  <si>
    <t>00006461</t>
  </si>
  <si>
    <t>0000779</t>
  </si>
  <si>
    <t>0000778</t>
  </si>
  <si>
    <t>0000777</t>
  </si>
  <si>
    <t>S. T. E. G.</t>
  </si>
  <si>
    <t>STE HAJ AUTO</t>
  </si>
  <si>
    <t>00013441</t>
  </si>
  <si>
    <t>00013440</t>
  </si>
  <si>
    <t>0004673</t>
  </si>
  <si>
    <t>STE ESSAADA</t>
  </si>
  <si>
    <t>FN180035</t>
  </si>
  <si>
    <t>SITUATION SOTRAM 05/09/2018</t>
  </si>
  <si>
    <t>SITUATION HAZEM 05/09/2018</t>
  </si>
  <si>
    <t>SITUATION KAIS 05/09/2018</t>
  </si>
  <si>
    <t>GHEDIFI</t>
  </si>
  <si>
    <t>VALDEC</t>
  </si>
  <si>
    <t>SOLDE au 06/09/2018</t>
  </si>
  <si>
    <t>Banque</t>
  </si>
  <si>
    <t>Antidatée</t>
  </si>
  <si>
    <t>Amount</t>
  </si>
  <si>
    <t>7X02000</t>
  </si>
  <si>
    <t>CLIENT PASSAGER - GAFSA</t>
  </si>
  <si>
    <t>0103955</t>
  </si>
  <si>
    <t>ATTIJRI</t>
  </si>
  <si>
    <t>bq zait</t>
  </si>
  <si>
    <t>ATB</t>
  </si>
  <si>
    <t>uib</t>
  </si>
  <si>
    <t>biat</t>
  </si>
  <si>
    <t>BH</t>
  </si>
  <si>
    <t>BIAT</t>
  </si>
  <si>
    <t>BNA</t>
  </si>
  <si>
    <t>QNB</t>
  </si>
  <si>
    <t>bh</t>
  </si>
  <si>
    <t>stb</t>
  </si>
  <si>
    <t>UIB</t>
  </si>
  <si>
    <t>4S12071</t>
  </si>
  <si>
    <t>STE X TREME POWER SPORTS</t>
  </si>
  <si>
    <t>0001953</t>
  </si>
  <si>
    <t>UBCI</t>
  </si>
  <si>
    <t>attijari</t>
  </si>
  <si>
    <t>BT</t>
  </si>
  <si>
    <t>ATTIJARI</t>
  </si>
  <si>
    <t>ZIT</t>
  </si>
  <si>
    <t>REZGUI ANIS BEN ALI BN AMARA</t>
  </si>
  <si>
    <t>8R11061</t>
  </si>
  <si>
    <t>STE GHAMMOUR ENAKHIL</t>
  </si>
  <si>
    <t>4000752</t>
  </si>
  <si>
    <t>ZITOUNA</t>
  </si>
  <si>
    <t>atb</t>
  </si>
  <si>
    <t>ubci</t>
  </si>
  <si>
    <t>ATJTJ</t>
  </si>
  <si>
    <t>btk</t>
  </si>
  <si>
    <t>1S01264</t>
  </si>
  <si>
    <t>4023544</t>
  </si>
  <si>
    <t>EL BARAK</t>
  </si>
  <si>
    <t>AMEN</t>
  </si>
  <si>
    <t>amen</t>
  </si>
  <si>
    <t>tsb</t>
  </si>
  <si>
    <t>amen b</t>
  </si>
  <si>
    <t>AMEN B</t>
  </si>
  <si>
    <t>TSB</t>
  </si>
  <si>
    <t>BTL</t>
  </si>
  <si>
    <t>qnb</t>
  </si>
  <si>
    <t>al barak</t>
  </si>
  <si>
    <t>STE ROUA VENTE ET ACHAT EN</t>
  </si>
  <si>
    <t>0003034</t>
  </si>
  <si>
    <t>1R02241</t>
  </si>
  <si>
    <t>4001548</t>
  </si>
  <si>
    <t>BQ ZAIT</t>
  </si>
  <si>
    <t>6R21170</t>
  </si>
  <si>
    <t>S P A E</t>
  </si>
  <si>
    <t>0000812</t>
  </si>
  <si>
    <t>ATTJ BQ</t>
  </si>
  <si>
    <t>bna</t>
  </si>
  <si>
    <t>KHROUF BAGHDADI B BOULBABA</t>
  </si>
  <si>
    <t>5814088</t>
  </si>
  <si>
    <t>ALBARAKA</t>
  </si>
  <si>
    <t>4r12211</t>
  </si>
  <si>
    <t>7565216</t>
  </si>
  <si>
    <t>ATTI</t>
  </si>
  <si>
    <t>9382418</t>
  </si>
  <si>
    <t>9480014</t>
  </si>
  <si>
    <t>RACHED BEN BRAHIM MAMMACHA</t>
  </si>
  <si>
    <t>ALALBARK</t>
  </si>
  <si>
    <t>attj bq</t>
  </si>
  <si>
    <t>0002230</t>
  </si>
  <si>
    <t>BTE</t>
  </si>
  <si>
    <t>bt</t>
  </si>
  <si>
    <t>btl</t>
  </si>
  <si>
    <t>1r04145</t>
  </si>
  <si>
    <t>STE COMPTOIR PIECE AUTO</t>
  </si>
  <si>
    <t>9949811</t>
  </si>
  <si>
    <t>1r05148</t>
  </si>
  <si>
    <t>STE COMP. GENERAL EQUIPEMENT</t>
  </si>
  <si>
    <t>2991355</t>
  </si>
  <si>
    <t>0000877</t>
  </si>
  <si>
    <t>0002968</t>
  </si>
  <si>
    <t>ATTJ</t>
  </si>
  <si>
    <t>ATTB</t>
  </si>
  <si>
    <t>3R18330</t>
  </si>
  <si>
    <t>FOUED KMIHA</t>
  </si>
  <si>
    <t>1202973</t>
  </si>
  <si>
    <t>BZ</t>
  </si>
  <si>
    <t>AB</t>
  </si>
  <si>
    <t>4R12215</t>
  </si>
  <si>
    <t>STE UNION AUTO</t>
  </si>
  <si>
    <t>0193311</t>
  </si>
  <si>
    <t>ATIJ</t>
  </si>
  <si>
    <t>STE STATION SERVICE.OILLIBYA</t>
  </si>
  <si>
    <t>0066600</t>
  </si>
  <si>
    <t>5327702</t>
  </si>
  <si>
    <t>0892920</t>
  </si>
  <si>
    <t>4r13098</t>
  </si>
  <si>
    <t>0004624</t>
  </si>
  <si>
    <t>6582725</t>
  </si>
  <si>
    <t>1r05206</t>
  </si>
  <si>
    <t>STE CHERIF ELECTRICITE AUTO</t>
  </si>
  <si>
    <t>4R15051</t>
  </si>
  <si>
    <t>STE LARMA</t>
  </si>
  <si>
    <t>8595396</t>
  </si>
  <si>
    <t>6R21078</t>
  </si>
  <si>
    <t>PIECES DETACHEES AUTO ET P</t>
  </si>
  <si>
    <t>0001102</t>
  </si>
  <si>
    <t>NABIHA REZGUI BEN HABIB</t>
  </si>
  <si>
    <t>attj b</t>
  </si>
  <si>
    <t>4R12138</t>
  </si>
  <si>
    <t>ALI LAYOUNI- STATION SHELL</t>
  </si>
  <si>
    <t>9382419</t>
  </si>
  <si>
    <t>BAIT</t>
  </si>
  <si>
    <t>3338966</t>
  </si>
  <si>
    <t>7400257</t>
  </si>
  <si>
    <t>0003032</t>
  </si>
  <si>
    <t>AL BARAK</t>
  </si>
  <si>
    <t>9382420</t>
  </si>
  <si>
    <t>ATJJ</t>
  </si>
  <si>
    <t>9480015</t>
  </si>
  <si>
    <t>0004728</t>
  </si>
  <si>
    <t>9445535</t>
  </si>
  <si>
    <t>1r05191</t>
  </si>
  <si>
    <t>7852447</t>
  </si>
  <si>
    <t>3963685</t>
  </si>
  <si>
    <t>0872021</t>
  </si>
  <si>
    <t>1r01543</t>
  </si>
  <si>
    <t>GENERAL PNEU PIECES RECH</t>
  </si>
  <si>
    <t>6017812</t>
  </si>
  <si>
    <t>STE LA RECHANGE AUTOMOBILE</t>
  </si>
  <si>
    <t>7400259</t>
  </si>
  <si>
    <t>3255300</t>
  </si>
  <si>
    <t>1387316</t>
  </si>
  <si>
    <t>STE ASIE AUTOMOBILE SERVICES</t>
  </si>
  <si>
    <t>3285528</t>
  </si>
  <si>
    <t>9198480</t>
  </si>
  <si>
    <t>0000161</t>
  </si>
  <si>
    <t>0004729</t>
  </si>
  <si>
    <t>9382421</t>
  </si>
  <si>
    <t>9480013</t>
  </si>
  <si>
    <t>7400258</t>
  </si>
  <si>
    <t>0003033</t>
  </si>
  <si>
    <t>bte</t>
  </si>
  <si>
    <t>2443601</t>
  </si>
  <si>
    <t>3963686</t>
  </si>
  <si>
    <t>1r07013</t>
  </si>
  <si>
    <t>0624146</t>
  </si>
  <si>
    <t>0004730</t>
  </si>
  <si>
    <t>1r01491</t>
  </si>
  <si>
    <t>TUNISINNE DE PIECES DETACHES</t>
  </si>
  <si>
    <t>6892510</t>
  </si>
  <si>
    <t>6289698</t>
  </si>
  <si>
    <t>2085653</t>
  </si>
  <si>
    <t>3255301</t>
  </si>
  <si>
    <t>0058971</t>
  </si>
  <si>
    <t>1R01470</t>
  </si>
  <si>
    <t>3848959</t>
  </si>
  <si>
    <t>1r02211</t>
  </si>
  <si>
    <t>0187191</t>
  </si>
  <si>
    <t>0000076</t>
  </si>
  <si>
    <t>1r02278</t>
  </si>
  <si>
    <t>4343211</t>
  </si>
  <si>
    <t>8924994</t>
  </si>
  <si>
    <t>1R03173</t>
  </si>
  <si>
    <t>0469911</t>
  </si>
  <si>
    <t>0005866</t>
  </si>
  <si>
    <t>0303501</t>
  </si>
  <si>
    <t>0002969</t>
  </si>
  <si>
    <t>UIN</t>
  </si>
  <si>
    <t>8686269</t>
  </si>
  <si>
    <t>4155427</t>
  </si>
  <si>
    <t>4R12234</t>
  </si>
  <si>
    <t>FAYCEL BEN MOHAMMED ZARROUK</t>
  </si>
  <si>
    <t>0001254</t>
  </si>
  <si>
    <t>8910459</t>
  </si>
  <si>
    <t>0001313</t>
  </si>
  <si>
    <t>5327703</t>
  </si>
  <si>
    <t>0000156</t>
  </si>
  <si>
    <t>0902998</t>
  </si>
  <si>
    <t>3996346</t>
  </si>
  <si>
    <t>4r14072</t>
  </si>
  <si>
    <t>3329142</t>
  </si>
  <si>
    <t>9382422</t>
  </si>
  <si>
    <t>2963747</t>
  </si>
  <si>
    <t>6R21156</t>
  </si>
  <si>
    <t>STE BEN HMIDA POLY SERVICES</t>
  </si>
  <si>
    <t>0001409</t>
  </si>
  <si>
    <t>3822616</t>
  </si>
  <si>
    <t>0954416</t>
  </si>
  <si>
    <t>0059850</t>
  </si>
  <si>
    <t>0872020</t>
  </si>
  <si>
    <t>4000456</t>
  </si>
  <si>
    <t>4001759</t>
  </si>
  <si>
    <t>0841730</t>
  </si>
  <si>
    <t>1r03118</t>
  </si>
  <si>
    <t>1342029</t>
  </si>
  <si>
    <t>5518193</t>
  </si>
  <si>
    <t>7852448</t>
  </si>
  <si>
    <t>EL HORRY FARES PAWER AUTO</t>
  </si>
  <si>
    <t>1r06125</t>
  </si>
  <si>
    <t>NAJET BENT SALAH ZAMELI</t>
  </si>
  <si>
    <t>0209692</t>
  </si>
  <si>
    <t>0000878</t>
  </si>
  <si>
    <t>4000794</t>
  </si>
  <si>
    <t>0000490</t>
  </si>
  <si>
    <t>0000223</t>
  </si>
  <si>
    <t>0004731</t>
  </si>
  <si>
    <t>7400262</t>
  </si>
  <si>
    <t>1r01479</t>
  </si>
  <si>
    <t>STE TURKI TOUT COMMERCE STTC</t>
  </si>
  <si>
    <t>1281758</t>
  </si>
  <si>
    <t>1r04147</t>
  </si>
  <si>
    <t>5830181</t>
  </si>
  <si>
    <t>1327334</t>
  </si>
  <si>
    <t>0624147</t>
  </si>
  <si>
    <t>5457179</t>
  </si>
  <si>
    <t>3995138</t>
  </si>
  <si>
    <t>3996347</t>
  </si>
  <si>
    <t>2065943</t>
  </si>
  <si>
    <t>0001957</t>
  </si>
  <si>
    <t>9480016</t>
  </si>
  <si>
    <t>1459509</t>
  </si>
  <si>
    <t>3464764</t>
  </si>
  <si>
    <t>0872019</t>
  </si>
  <si>
    <t>0743989</t>
  </si>
  <si>
    <t>3255302</t>
  </si>
  <si>
    <t>1178109</t>
  </si>
  <si>
    <t>0003028</t>
  </si>
  <si>
    <t>0004732</t>
  </si>
  <si>
    <t>9081237</t>
  </si>
  <si>
    <t>3996348</t>
  </si>
  <si>
    <t>8R10038</t>
  </si>
  <si>
    <t>STE MECHERGUI D'EQUIP. AUTOS</t>
  </si>
  <si>
    <t>0001337</t>
  </si>
  <si>
    <t>0165208</t>
  </si>
  <si>
    <t>0000491</t>
  </si>
  <si>
    <t>6r21169</t>
  </si>
  <si>
    <t>0004091</t>
  </si>
  <si>
    <t>0001958</t>
  </si>
  <si>
    <t>3822617</t>
  </si>
  <si>
    <t>2085654</t>
  </si>
  <si>
    <t>8R09006</t>
  </si>
  <si>
    <t>GHARBI JALEL BEN BRAHIM</t>
  </si>
  <si>
    <t>0000179</t>
  </si>
  <si>
    <t>WIFAK</t>
  </si>
  <si>
    <t>1387315</t>
  </si>
  <si>
    <t>0003029</t>
  </si>
  <si>
    <t>1R06141</t>
  </si>
  <si>
    <t>9359098</t>
  </si>
  <si>
    <t>1R06149</t>
  </si>
  <si>
    <t>7761894</t>
  </si>
  <si>
    <t>9081238</t>
  </si>
  <si>
    <t>3464765</t>
  </si>
  <si>
    <t>0902999</t>
  </si>
  <si>
    <t>2442308</t>
  </si>
  <si>
    <t>3996349</t>
  </si>
  <si>
    <t>2065944</t>
  </si>
  <si>
    <t>1459510</t>
  </si>
  <si>
    <t>0001630</t>
  </si>
  <si>
    <t>0041162</t>
  </si>
  <si>
    <t>1178110</t>
  </si>
  <si>
    <t>0000836</t>
  </si>
  <si>
    <t>0003030</t>
  </si>
  <si>
    <t>1r03176</t>
  </si>
  <si>
    <t>ESSAFI AUTO</t>
  </si>
  <si>
    <t>1329767</t>
  </si>
  <si>
    <t>8660450</t>
  </si>
  <si>
    <t>3211046</t>
  </si>
  <si>
    <t>3285529</t>
  </si>
  <si>
    <t>0002970</t>
  </si>
  <si>
    <t>9081239</t>
  </si>
  <si>
    <t>0000157</t>
  </si>
  <si>
    <t>3996350</t>
  </si>
  <si>
    <t>0001959</t>
  </si>
  <si>
    <t>0005619</t>
  </si>
  <si>
    <t>3464766</t>
  </si>
  <si>
    <t>0001336</t>
  </si>
  <si>
    <t>3822618</t>
  </si>
  <si>
    <t>7380648</t>
  </si>
  <si>
    <t>attj</t>
  </si>
  <si>
    <t>0001770</t>
  </si>
  <si>
    <t>0042099</t>
  </si>
  <si>
    <t>9081240</t>
  </si>
  <si>
    <t>0000106</t>
  </si>
  <si>
    <t>3996351</t>
  </si>
  <si>
    <t>0001631</t>
  </si>
  <si>
    <t>1459511</t>
  </si>
  <si>
    <t>0005620</t>
  </si>
  <si>
    <t>9124175</t>
  </si>
  <si>
    <t>0005282</t>
  </si>
  <si>
    <t>3464767</t>
  </si>
  <si>
    <t>0743990</t>
  </si>
  <si>
    <t>5702550</t>
  </si>
  <si>
    <t>3981353</t>
  </si>
  <si>
    <t>0000180</t>
  </si>
  <si>
    <t>1178111</t>
  </si>
  <si>
    <t>0003031</t>
  </si>
  <si>
    <t>0065519</t>
  </si>
  <si>
    <t>1R02231</t>
  </si>
  <si>
    <t>4001915</t>
  </si>
  <si>
    <t>1329768</t>
  </si>
  <si>
    <t>6774385</t>
  </si>
  <si>
    <t>6779417</t>
  </si>
  <si>
    <t>3783856</t>
  </si>
  <si>
    <t>9081241</t>
  </si>
  <si>
    <t>3376136</t>
  </si>
  <si>
    <t>0137826</t>
  </si>
  <si>
    <t>0000407</t>
  </si>
  <si>
    <t>0000158</t>
  </si>
  <si>
    <t>2442309</t>
  </si>
  <si>
    <t>3996352</t>
  </si>
  <si>
    <t>0578130</t>
  </si>
  <si>
    <t>0001632</t>
  </si>
  <si>
    <t>6936984</t>
  </si>
  <si>
    <t>0000096</t>
  </si>
  <si>
    <t>0004810</t>
  </si>
  <si>
    <t>9110682</t>
  </si>
  <si>
    <t>1R03160</t>
  </si>
  <si>
    <t>4652964</t>
  </si>
  <si>
    <t>1329769</t>
  </si>
  <si>
    <t>3783857</t>
  </si>
  <si>
    <t>8661877</t>
  </si>
  <si>
    <t>8938813</t>
  </si>
  <si>
    <t>2065945</t>
  </si>
  <si>
    <t>0001633</t>
  </si>
  <si>
    <t>0001338</t>
  </si>
  <si>
    <t>1459512</t>
  </si>
  <si>
    <t>8938814</t>
  </si>
  <si>
    <t>3464768</t>
  </si>
  <si>
    <t>2065946</t>
  </si>
  <si>
    <t>0000190</t>
  </si>
  <si>
    <t>8744845</t>
  </si>
  <si>
    <t>2065947</t>
  </si>
  <si>
    <t>3783858</t>
  </si>
  <si>
    <t>0004849</t>
  </si>
  <si>
    <t>1r02280</t>
  </si>
  <si>
    <t>0006061</t>
  </si>
  <si>
    <t>2577372</t>
  </si>
  <si>
    <t>3376143</t>
  </si>
  <si>
    <t>8938815</t>
  </si>
  <si>
    <t>0004675</t>
  </si>
  <si>
    <t>0004668</t>
  </si>
  <si>
    <t>9198482</t>
  </si>
  <si>
    <t>0004749</t>
  </si>
  <si>
    <t>0004750</t>
  </si>
  <si>
    <t>0004751</t>
  </si>
  <si>
    <t>0005546</t>
  </si>
  <si>
    <t>0004752</t>
  </si>
  <si>
    <t>0003303</t>
  </si>
  <si>
    <t>0004850</t>
  </si>
  <si>
    <t>0001622</t>
  </si>
  <si>
    <t>0000192</t>
  </si>
  <si>
    <t>0004674</t>
  </si>
  <si>
    <t>3r18061</t>
  </si>
  <si>
    <t>0005548</t>
  </si>
  <si>
    <t>0000573</t>
  </si>
  <si>
    <t>0000574</t>
  </si>
  <si>
    <t>0000571</t>
  </si>
  <si>
    <t>0000572</t>
  </si>
  <si>
    <t>0003304</t>
  </si>
  <si>
    <t>0001623</t>
  </si>
  <si>
    <t>0004753</t>
  </si>
  <si>
    <t>0004757</t>
  </si>
  <si>
    <t>3963684</t>
  </si>
  <si>
    <t>9443081</t>
  </si>
  <si>
    <t>8545129</t>
  </si>
  <si>
    <t>8545130</t>
  </si>
  <si>
    <t>4R13138</t>
  </si>
  <si>
    <t>ASMA BENT MOKHTAR ESSID</t>
  </si>
  <si>
    <t>4R12182</t>
  </si>
  <si>
    <t>S T A A S</t>
  </si>
  <si>
    <t>7R22002</t>
  </si>
  <si>
    <t>STE GLE DE COMMERCE PIECES</t>
  </si>
  <si>
    <t>1R02228</t>
  </si>
  <si>
    <t>SODIST</t>
  </si>
  <si>
    <t>STE EL GHARBI EQUIP.GENERAL</t>
  </si>
  <si>
    <t>4R12264</t>
  </si>
  <si>
    <t>STE AUTOS BRAKES</t>
  </si>
  <si>
    <t>1R02196</t>
  </si>
  <si>
    <t>SOCIETE SOPI</t>
  </si>
  <si>
    <t>7R19069</t>
  </si>
  <si>
    <t>HOUCINE B. ABDELHAMID BOUONI</t>
  </si>
  <si>
    <t>1R02248</t>
  </si>
  <si>
    <t>STE BEN AMOR AUTO</t>
  </si>
  <si>
    <t>1R03037</t>
  </si>
  <si>
    <t>S A G A</t>
  </si>
  <si>
    <t>4R12186</t>
  </si>
  <si>
    <t>TRAILER ET LORRY PARTS [TLP]</t>
  </si>
  <si>
    <t>3R18356</t>
  </si>
  <si>
    <t>AHMED BEN TAHER HASSAIRI</t>
  </si>
  <si>
    <t>1R02249</t>
  </si>
  <si>
    <t>STE OUBAY DE PIECES</t>
  </si>
  <si>
    <t>6R23038</t>
  </si>
  <si>
    <t>MOHAMED HEDI BOUAOUJA</t>
  </si>
  <si>
    <t>3R18141</t>
  </si>
  <si>
    <t>ETS. FAIZA GARG. &amp; BOUHAMED</t>
  </si>
  <si>
    <t>COMPAGNIE TNNE DE REPRESENT.</t>
  </si>
  <si>
    <t>COMPTOIR PIECES FIAT-SELLAMI</t>
  </si>
  <si>
    <t>1R12003</t>
  </si>
</sst>
</file>

<file path=xl/styles.xml><?xml version="1.0" encoding="utf-8"?>
<styleSheet xmlns="http://schemas.openxmlformats.org/spreadsheetml/2006/main">
  <numFmts count="18">
    <numFmt numFmtId="43" formatCode="_-* #,##0.00\ _€_-;\-* #,##0.00\ _€_-;_-* &quot;-&quot;??\ _€_-;_-@_-"/>
    <numFmt numFmtId="164" formatCode="#,##0.000"/>
    <numFmt numFmtId="165" formatCode="#,##0.000\ _F"/>
    <numFmt numFmtId="166" formatCode="#,##0;[Red]#,##0"/>
    <numFmt numFmtId="167" formatCode="0.0000000"/>
    <numFmt numFmtId="168" formatCode="[$$-409]#,##0.00"/>
    <numFmt numFmtId="169" formatCode="#,##0.0000"/>
    <numFmt numFmtId="170" formatCode="#,##0.00\ &quot;€&quot;"/>
    <numFmt numFmtId="171" formatCode="#,##0.000\ _€"/>
    <numFmt numFmtId="172" formatCode="#,##0.00000000"/>
    <numFmt numFmtId="173" formatCode="0.000000"/>
    <numFmt numFmtId="174" formatCode="#,##0.0000000000"/>
    <numFmt numFmtId="175" formatCode="[$-40C]d\-mmm\-yy;@"/>
    <numFmt numFmtId="176" formatCode="[$-40C]mmm\-yy;@"/>
    <numFmt numFmtId="177" formatCode="_-* #,##0.0000000\ _€_-;\-* #,##0.0000000\ _€_-;_-* &quot;-&quot;??\ _€_-;_-@_-"/>
    <numFmt numFmtId="178" formatCode="0.000000000%"/>
    <numFmt numFmtId="179" formatCode="0.00000000"/>
    <numFmt numFmtId="180" formatCode="_-* #,##0.000\ _€_-;\-* #,##0.000\ _€_-;_-* &quot;-&quot;???\ _€_-;_-@_-"/>
  </numFmts>
  <fonts count="4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z val="10"/>
      <name val="Times New Roman"/>
      <family val="1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0"/>
      <name val="Times New Roman"/>
      <family val="1"/>
    </font>
    <font>
      <sz val="11"/>
      <color rgb="FFFF0000"/>
      <name val="Times New Roman"/>
      <family val="1"/>
    </font>
    <font>
      <b/>
      <sz val="11"/>
      <name val="Times New Roman"/>
      <family val="1"/>
    </font>
    <font>
      <sz val="11"/>
      <color theme="0"/>
      <name val="Times New Roman"/>
      <family val="1"/>
    </font>
    <font>
      <b/>
      <sz val="11"/>
      <color theme="0"/>
      <name val="Times New Roman"/>
      <family val="1"/>
    </font>
    <font>
      <b/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color indexed="8"/>
      <name val="Calibri"/>
      <family val="2"/>
    </font>
    <font>
      <b/>
      <i/>
      <sz val="11"/>
      <color indexed="8"/>
      <name val="Calibri"/>
      <family val="2"/>
    </font>
    <font>
      <sz val="11"/>
      <name val="Calibri"/>
      <family val="2"/>
    </font>
    <font>
      <sz val="9"/>
      <name val="Arial"/>
      <family val="2"/>
    </font>
    <font>
      <b/>
      <sz val="11"/>
      <name val="Calibri"/>
      <family val="2"/>
    </font>
    <font>
      <b/>
      <sz val="12"/>
      <color indexed="8"/>
      <name val="Calibri"/>
      <family val="2"/>
    </font>
    <font>
      <b/>
      <sz val="14"/>
      <color indexed="8"/>
      <name val="Calibri"/>
      <family val="2"/>
    </font>
    <font>
      <b/>
      <sz val="11"/>
      <color rgb="FFFF0000"/>
      <name val="Times New Roman"/>
      <family val="1"/>
    </font>
    <font>
      <b/>
      <sz val="12"/>
      <color rgb="FFFF0000"/>
      <name val="Times New Roman"/>
      <family val="1"/>
    </font>
    <font>
      <sz val="11"/>
      <color rgb="FFFFFF00"/>
      <name val="Times New Roman"/>
      <family val="1"/>
    </font>
    <font>
      <b/>
      <sz val="11"/>
      <color theme="1"/>
      <name val="Calibri"/>
      <family val="2"/>
    </font>
    <font>
      <sz val="9"/>
      <color theme="1"/>
      <name val="Arial"/>
      <family val="2"/>
    </font>
    <font>
      <sz val="11"/>
      <color theme="1"/>
      <name val="Calibri"/>
      <family val="2"/>
    </font>
    <font>
      <b/>
      <i/>
      <sz val="10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</cellStyleXfs>
  <cellXfs count="942">
    <xf numFmtId="0" fontId="0" fillId="0" borderId="0" xfId="0"/>
    <xf numFmtId="0" fontId="2" fillId="0" borderId="0" xfId="0" applyFont="1"/>
    <xf numFmtId="4" fontId="2" fillId="0" borderId="0" xfId="0" applyNumberFormat="1" applyFont="1"/>
    <xf numFmtId="164" fontId="2" fillId="0" borderId="0" xfId="0" applyNumberFormat="1" applyFont="1"/>
    <xf numFmtId="0" fontId="3" fillId="0" borderId="0" xfId="0" applyFont="1"/>
    <xf numFmtId="0" fontId="5" fillId="0" borderId="0" xfId="0" applyFont="1"/>
    <xf numFmtId="0" fontId="6" fillId="0" borderId="0" xfId="0" applyFont="1"/>
    <xf numFmtId="43" fontId="2" fillId="0" borderId="0" xfId="1" applyFont="1"/>
    <xf numFmtId="0" fontId="6" fillId="0" borderId="10" xfId="0" applyFont="1" applyBorder="1"/>
    <xf numFmtId="0" fontId="6" fillId="0" borderId="14" xfId="0" applyFont="1" applyBorder="1"/>
    <xf numFmtId="0" fontId="6" fillId="0" borderId="15" xfId="0" applyFont="1" applyBorder="1"/>
    <xf numFmtId="14" fontId="6" fillId="0" borderId="16" xfId="0" applyNumberFormat="1" applyFont="1" applyBorder="1"/>
    <xf numFmtId="0" fontId="6" fillId="0" borderId="16" xfId="0" applyFont="1" applyBorder="1"/>
    <xf numFmtId="4" fontId="6" fillId="0" borderId="16" xfId="0" applyNumberFormat="1" applyFont="1" applyBorder="1"/>
    <xf numFmtId="164" fontId="6" fillId="0" borderId="16" xfId="0" applyNumberFormat="1" applyFont="1" applyBorder="1"/>
    <xf numFmtId="14" fontId="6" fillId="0" borderId="17" xfId="0" applyNumberFormat="1" applyFont="1" applyBorder="1"/>
    <xf numFmtId="164" fontId="6" fillId="0" borderId="15" xfId="0" applyNumberFormat="1" applyFont="1" applyBorder="1"/>
    <xf numFmtId="4" fontId="6" fillId="0" borderId="15" xfId="0" applyNumberFormat="1" applyFont="1" applyBorder="1"/>
    <xf numFmtId="0" fontId="6" fillId="0" borderId="17" xfId="0" applyFont="1" applyBorder="1"/>
    <xf numFmtId="4" fontId="6" fillId="0" borderId="14" xfId="0" applyNumberFormat="1" applyFont="1" applyBorder="1"/>
    <xf numFmtId="0" fontId="6" fillId="0" borderId="22" xfId="0" applyFont="1" applyBorder="1"/>
    <xf numFmtId="14" fontId="6" fillId="0" borderId="22" xfId="0" applyNumberFormat="1" applyFont="1" applyBorder="1"/>
    <xf numFmtId="4" fontId="6" fillId="0" borderId="22" xfId="0" applyNumberFormat="1" applyFont="1" applyBorder="1"/>
    <xf numFmtId="164" fontId="6" fillId="0" borderId="22" xfId="0" applyNumberFormat="1" applyFont="1" applyBorder="1"/>
    <xf numFmtId="4" fontId="2" fillId="0" borderId="22" xfId="0" applyNumberFormat="1" applyFont="1" applyBorder="1"/>
    <xf numFmtId="0" fontId="6" fillId="0" borderId="0" xfId="0" applyFont="1" applyBorder="1"/>
    <xf numFmtId="0" fontId="7" fillId="0" borderId="0" xfId="0" applyFont="1"/>
    <xf numFmtId="0" fontId="2" fillId="0" borderId="10" xfId="0" applyFont="1" applyBorder="1"/>
    <xf numFmtId="164" fontId="4" fillId="2" borderId="28" xfId="0" applyNumberFormat="1" applyFont="1" applyFill="1" applyBorder="1" applyAlignment="1">
      <alignment horizontal="center"/>
    </xf>
    <xf numFmtId="4" fontId="4" fillId="2" borderId="28" xfId="0" applyNumberFormat="1" applyFont="1" applyFill="1" applyBorder="1" applyAlignment="1">
      <alignment horizontal="center"/>
    </xf>
    <xf numFmtId="14" fontId="4" fillId="2" borderId="28" xfId="0" applyNumberFormat="1" applyFont="1" applyFill="1" applyBorder="1" applyAlignment="1">
      <alignment horizontal="center"/>
    </xf>
    <xf numFmtId="0" fontId="10" fillId="0" borderId="0" xfId="0" applyFont="1"/>
    <xf numFmtId="0" fontId="11" fillId="0" borderId="0" xfId="0" applyFont="1"/>
    <xf numFmtId="166" fontId="10" fillId="5" borderId="18" xfId="0" applyNumberFormat="1" applyFont="1" applyFill="1" applyBorder="1"/>
    <xf numFmtId="166" fontId="11" fillId="0" borderId="0" xfId="0" applyNumberFormat="1" applyFont="1"/>
    <xf numFmtId="0" fontId="12" fillId="6" borderId="10" xfId="0" applyFont="1" applyFill="1" applyBorder="1"/>
    <xf numFmtId="0" fontId="2" fillId="0" borderId="10" xfId="0" applyFont="1" applyBorder="1" applyAlignment="1">
      <alignment horizontal="left" indent="2"/>
    </xf>
    <xf numFmtId="0" fontId="15" fillId="6" borderId="10" xfId="0" applyFont="1" applyFill="1" applyBorder="1"/>
    <xf numFmtId="0" fontId="10" fillId="0" borderId="10" xfId="0" applyFont="1" applyBorder="1"/>
    <xf numFmtId="0" fontId="2" fillId="0" borderId="10" xfId="0" applyFont="1" applyBorder="1" applyAlignment="1">
      <alignment horizontal="left" indent="1"/>
    </xf>
    <xf numFmtId="0" fontId="10" fillId="0" borderId="10" xfId="0" applyFont="1" applyBorder="1" applyAlignment="1"/>
    <xf numFmtId="166" fontId="10" fillId="5" borderId="10" xfId="0" applyNumberFormat="1" applyFont="1" applyFill="1" applyBorder="1"/>
    <xf numFmtId="166" fontId="4" fillId="4" borderId="14" xfId="0" applyNumberFormat="1" applyFont="1" applyFill="1" applyBorder="1"/>
    <xf numFmtId="14" fontId="7" fillId="0" borderId="0" xfId="0" applyNumberFormat="1" applyFont="1" applyFill="1"/>
    <xf numFmtId="0" fontId="7" fillId="0" borderId="0" xfId="0" applyFont="1" applyFill="1"/>
    <xf numFmtId="14" fontId="4" fillId="0" borderId="32" xfId="0" applyNumberFormat="1" applyFont="1" applyFill="1" applyBorder="1" applyAlignment="1">
      <alignment horizontal="right"/>
    </xf>
    <xf numFmtId="164" fontId="0" fillId="0" borderId="0" xfId="0" applyNumberFormat="1"/>
    <xf numFmtId="43" fontId="3" fillId="0" borderId="0" xfId="1" applyFont="1"/>
    <xf numFmtId="0" fontId="7" fillId="0" borderId="18" xfId="0" applyFont="1" applyFill="1" applyBorder="1" applyAlignment="1">
      <alignment vertical="center"/>
    </xf>
    <xf numFmtId="0" fontId="7" fillId="0" borderId="19" xfId="0" applyFont="1" applyFill="1" applyBorder="1" applyAlignment="1">
      <alignment horizontal="center"/>
    </xf>
    <xf numFmtId="14" fontId="7" fillId="0" borderId="20" xfId="0" applyNumberFormat="1" applyFont="1" applyFill="1" applyBorder="1" applyAlignment="1">
      <alignment horizontal="center"/>
    </xf>
    <xf numFmtId="0" fontId="7" fillId="0" borderId="20" xfId="0" applyFont="1" applyFill="1" applyBorder="1"/>
    <xf numFmtId="4" fontId="7" fillId="0" borderId="20" xfId="0" applyNumberFormat="1" applyFont="1" applyFill="1" applyBorder="1" applyAlignment="1">
      <alignment horizontal="center"/>
    </xf>
    <xf numFmtId="164" fontId="7" fillId="0" borderId="20" xfId="0" applyNumberFormat="1" applyFont="1" applyFill="1" applyBorder="1" applyAlignment="1">
      <alignment horizontal="center"/>
    </xf>
    <xf numFmtId="14" fontId="7" fillId="0" borderId="21" xfId="0" applyNumberFormat="1" applyFont="1" applyFill="1" applyBorder="1" applyAlignment="1">
      <alignment horizontal="center"/>
    </xf>
    <xf numFmtId="164" fontId="7" fillId="0" borderId="19" xfId="0" applyNumberFormat="1" applyFont="1" applyFill="1" applyBorder="1" applyAlignment="1">
      <alignment horizontal="center"/>
    </xf>
    <xf numFmtId="4" fontId="7" fillId="0" borderId="19" xfId="0" applyNumberFormat="1" applyFont="1" applyFill="1" applyBorder="1" applyAlignment="1">
      <alignment horizontal="center"/>
    </xf>
    <xf numFmtId="14" fontId="7" fillId="0" borderId="21" xfId="0" applyNumberFormat="1" applyFont="1" applyFill="1" applyBorder="1" applyAlignment="1">
      <alignment vertical="center"/>
    </xf>
    <xf numFmtId="4" fontId="7" fillId="0" borderId="18" xfId="0" applyNumberFormat="1" applyFont="1" applyFill="1" applyBorder="1"/>
    <xf numFmtId="43" fontId="2" fillId="0" borderId="0" xfId="1" applyFont="1" applyFill="1"/>
    <xf numFmtId="0" fontId="4" fillId="0" borderId="0" xfId="0" applyFont="1" applyFill="1"/>
    <xf numFmtId="0" fontId="2" fillId="0" borderId="24" xfId="0" applyFont="1" applyFill="1" applyBorder="1"/>
    <xf numFmtId="0" fontId="2" fillId="0" borderId="25" xfId="0" applyFont="1" applyFill="1" applyBorder="1"/>
    <xf numFmtId="14" fontId="2" fillId="0" borderId="26" xfId="0" applyNumberFormat="1" applyFont="1" applyFill="1" applyBorder="1"/>
    <xf numFmtId="4" fontId="2" fillId="0" borderId="26" xfId="0" applyNumberFormat="1" applyFont="1" applyFill="1" applyBorder="1"/>
    <xf numFmtId="164" fontId="2" fillId="0" borderId="26" xfId="0" applyNumberFormat="1" applyFont="1" applyFill="1" applyBorder="1"/>
    <xf numFmtId="14" fontId="2" fillId="0" borderId="27" xfId="1" applyNumberFormat="1" applyFont="1" applyFill="1" applyBorder="1"/>
    <xf numFmtId="0" fontId="2" fillId="0" borderId="26" xfId="0" applyFont="1" applyFill="1" applyBorder="1"/>
    <xf numFmtId="0" fontId="2" fillId="0" borderId="27" xfId="0" applyFont="1" applyFill="1" applyBorder="1"/>
    <xf numFmtId="4" fontId="2" fillId="0" borderId="25" xfId="0" applyNumberFormat="1" applyFont="1" applyFill="1" applyBorder="1"/>
    <xf numFmtId="0" fontId="3" fillId="0" borderId="0" xfId="0" applyFont="1" applyFill="1"/>
    <xf numFmtId="0" fontId="2" fillId="0" borderId="0" xfId="0" applyFont="1" applyFill="1"/>
    <xf numFmtId="0" fontId="2" fillId="0" borderId="14" xfId="0" applyFont="1" applyFill="1" applyBorder="1"/>
    <xf numFmtId="0" fontId="2" fillId="0" borderId="15" xfId="0" applyFont="1" applyFill="1" applyBorder="1"/>
    <xf numFmtId="0" fontId="2" fillId="0" borderId="16" xfId="0" applyFont="1" applyFill="1" applyBorder="1"/>
    <xf numFmtId="4" fontId="2" fillId="0" borderId="16" xfId="0" applyNumberFormat="1" applyFont="1" applyFill="1" applyBorder="1"/>
    <xf numFmtId="164" fontId="2" fillId="0" borderId="16" xfId="0" applyNumberFormat="1" applyFont="1" applyFill="1" applyBorder="1"/>
    <xf numFmtId="43" fontId="2" fillId="0" borderId="17" xfId="1" applyFont="1" applyFill="1" applyBorder="1"/>
    <xf numFmtId="164" fontId="2" fillId="0" borderId="15" xfId="0" applyNumberFormat="1" applyFont="1" applyFill="1" applyBorder="1"/>
    <xf numFmtId="0" fontId="2" fillId="0" borderId="17" xfId="0" applyFont="1" applyFill="1" applyBorder="1"/>
    <xf numFmtId="4" fontId="2" fillId="0" borderId="15" xfId="0" applyNumberFormat="1" applyFont="1" applyFill="1" applyBorder="1"/>
    <xf numFmtId="0" fontId="5" fillId="0" borderId="0" xfId="0" applyFont="1" applyFill="1"/>
    <xf numFmtId="43" fontId="6" fillId="0" borderId="0" xfId="1" applyFont="1" applyFill="1"/>
    <xf numFmtId="0" fontId="6" fillId="0" borderId="0" xfId="0" applyFont="1" applyFill="1"/>
    <xf numFmtId="4" fontId="6" fillId="0" borderId="0" xfId="0" applyNumberFormat="1" applyFont="1"/>
    <xf numFmtId="3" fontId="11" fillId="0" borderId="0" xfId="0" applyNumberFormat="1" applyFont="1"/>
    <xf numFmtId="166" fontId="14" fillId="4" borderId="17" xfId="0" applyNumberFormat="1" applyFont="1" applyFill="1" applyBorder="1"/>
    <xf numFmtId="166" fontId="14" fillId="4" borderId="15" xfId="0" applyNumberFormat="1" applyFont="1" applyFill="1" applyBorder="1"/>
    <xf numFmtId="3" fontId="11" fillId="0" borderId="13" xfId="0" applyNumberFormat="1" applyFont="1" applyBorder="1" applyAlignment="1">
      <alignment horizontal="right" indent="1"/>
    </xf>
    <xf numFmtId="3" fontId="11" fillId="0" borderId="11" xfId="0" applyNumberFormat="1" applyFont="1" applyBorder="1" applyAlignment="1">
      <alignment horizontal="right" indent="1"/>
    </xf>
    <xf numFmtId="3" fontId="10" fillId="0" borderId="13" xfId="0" applyNumberFormat="1" applyFont="1" applyBorder="1"/>
    <xf numFmtId="3" fontId="10" fillId="0" borderId="11" xfId="0" applyNumberFormat="1" applyFont="1" applyBorder="1"/>
    <xf numFmtId="3" fontId="10" fillId="0" borderId="13" xfId="0" applyNumberFormat="1" applyFont="1" applyBorder="1" applyAlignment="1">
      <alignment horizontal="right"/>
    </xf>
    <xf numFmtId="3" fontId="10" fillId="0" borderId="11" xfId="0" applyNumberFormat="1" applyFont="1" applyBorder="1" applyAlignment="1">
      <alignment horizontal="right"/>
    </xf>
    <xf numFmtId="0" fontId="10" fillId="0" borderId="10" xfId="0" applyFont="1" applyBorder="1" applyAlignment="1">
      <alignment horizontal="left"/>
    </xf>
    <xf numFmtId="3" fontId="2" fillId="0" borderId="13" xfId="0" applyNumberFormat="1" applyFont="1" applyBorder="1" applyAlignment="1">
      <alignment horizontal="right" indent="1"/>
    </xf>
    <xf numFmtId="3" fontId="6" fillId="0" borderId="11" xfId="0" applyNumberFormat="1" applyFont="1" applyBorder="1" applyAlignment="1">
      <alignment horizontal="right" indent="1"/>
    </xf>
    <xf numFmtId="0" fontId="7" fillId="7" borderId="10" xfId="0" applyFont="1" applyFill="1" applyBorder="1"/>
    <xf numFmtId="3" fontId="11" fillId="0" borderId="13" xfId="0" applyNumberFormat="1" applyFont="1" applyBorder="1"/>
    <xf numFmtId="3" fontId="10" fillId="0" borderId="11" xfId="0" applyNumberFormat="1" applyFont="1" applyBorder="1" applyAlignment="1">
      <alignment horizontal="center"/>
    </xf>
    <xf numFmtId="3" fontId="11" fillId="0" borderId="11" xfId="0" applyNumberFormat="1" applyFont="1" applyBorder="1" applyAlignment="1">
      <alignment horizontal="center"/>
    </xf>
    <xf numFmtId="14" fontId="0" fillId="0" borderId="0" xfId="0" applyNumberFormat="1"/>
    <xf numFmtId="4" fontId="0" fillId="0" borderId="0" xfId="0" applyNumberFormat="1"/>
    <xf numFmtId="0" fontId="17" fillId="0" borderId="0" xfId="0" applyFont="1"/>
    <xf numFmtId="168" fontId="0" fillId="0" borderId="0" xfId="0" applyNumberFormat="1"/>
    <xf numFmtId="4" fontId="19" fillId="2" borderId="34" xfId="0" applyNumberFormat="1" applyFont="1" applyFill="1" applyBorder="1"/>
    <xf numFmtId="0" fontId="0" fillId="0" borderId="0" xfId="0" applyFill="1"/>
    <xf numFmtId="14" fontId="0" fillId="0" borderId="0" xfId="0" applyNumberFormat="1" applyFill="1"/>
    <xf numFmtId="0" fontId="21" fillId="0" borderId="28" xfId="0" applyFont="1" applyFill="1" applyBorder="1"/>
    <xf numFmtId="14" fontId="22" fillId="0" borderId="28" xfId="0" applyNumberFormat="1" applyFont="1" applyFill="1" applyBorder="1" applyAlignment="1">
      <alignment horizontal="right"/>
    </xf>
    <xf numFmtId="14" fontId="22" fillId="0" borderId="28" xfId="0" applyNumberFormat="1" applyFont="1" applyFill="1" applyBorder="1"/>
    <xf numFmtId="4" fontId="22" fillId="0" borderId="28" xfId="0" applyNumberFormat="1" applyFont="1" applyFill="1" applyBorder="1"/>
    <xf numFmtId="169" fontId="22" fillId="0" borderId="28" xfId="0" applyNumberFormat="1" applyFont="1" applyFill="1" applyBorder="1"/>
    <xf numFmtId="170" fontId="22" fillId="0" borderId="28" xfId="0" applyNumberFormat="1" applyFont="1" applyFill="1" applyBorder="1"/>
    <xf numFmtId="0" fontId="22" fillId="0" borderId="28" xfId="0" applyFont="1" applyFill="1" applyBorder="1"/>
    <xf numFmtId="171" fontId="19" fillId="2" borderId="34" xfId="0" applyNumberFormat="1" applyFont="1" applyFill="1" applyBorder="1" applyAlignment="1">
      <alignment horizontal="right"/>
    </xf>
    <xf numFmtId="0" fontId="19" fillId="2" borderId="9" xfId="0" applyFont="1" applyFill="1" applyBorder="1" applyAlignment="1">
      <alignment horizontal="center"/>
    </xf>
    <xf numFmtId="0" fontId="19" fillId="2" borderId="23" xfId="0" applyFont="1" applyFill="1" applyBorder="1" applyAlignment="1">
      <alignment horizontal="center"/>
    </xf>
    <xf numFmtId="0" fontId="19" fillId="2" borderId="37" xfId="0" applyFont="1" applyFill="1" applyBorder="1" applyAlignment="1">
      <alignment horizontal="center"/>
    </xf>
    <xf numFmtId="0" fontId="19" fillId="2" borderId="1" xfId="0" applyFont="1" applyFill="1" applyBorder="1" applyAlignment="1">
      <alignment horizontal="center"/>
    </xf>
    <xf numFmtId="0" fontId="19" fillId="2" borderId="38" xfId="0" applyFont="1" applyFill="1" applyBorder="1" applyAlignment="1">
      <alignment horizontal="center"/>
    </xf>
    <xf numFmtId="0" fontId="19" fillId="2" borderId="8" xfId="0" applyFont="1" applyFill="1" applyBorder="1" applyAlignment="1">
      <alignment horizontal="center"/>
    </xf>
    <xf numFmtId="0" fontId="23" fillId="0" borderId="28" xfId="0" applyFont="1" applyFill="1" applyBorder="1" applyAlignment="1">
      <alignment horizontal="left" vertical="center"/>
    </xf>
    <xf numFmtId="3" fontId="11" fillId="0" borderId="12" xfId="0" applyNumberFormat="1" applyFont="1" applyBorder="1"/>
    <xf numFmtId="3" fontId="10" fillId="0" borderId="12" xfId="0" applyNumberFormat="1" applyFont="1" applyBorder="1"/>
    <xf numFmtId="3" fontId="10" fillId="0" borderId="12" xfId="0" applyNumberFormat="1" applyFont="1" applyBorder="1" applyAlignment="1">
      <alignment horizontal="right"/>
    </xf>
    <xf numFmtId="3" fontId="2" fillId="0" borderId="12" xfId="0" applyNumberFormat="1" applyFont="1" applyBorder="1" applyAlignment="1">
      <alignment horizontal="right" indent="1"/>
    </xf>
    <xf numFmtId="3" fontId="11" fillId="0" borderId="12" xfId="0" applyNumberFormat="1" applyFont="1" applyBorder="1" applyAlignment="1">
      <alignment horizontal="right" indent="1"/>
    </xf>
    <xf numFmtId="166" fontId="10" fillId="5" borderId="11" xfId="0" applyNumberFormat="1" applyFont="1" applyFill="1" applyBorder="1" applyAlignment="1">
      <alignment horizontal="center"/>
    </xf>
    <xf numFmtId="166" fontId="10" fillId="5" borderId="13" xfId="0" applyNumberFormat="1" applyFont="1" applyFill="1" applyBorder="1" applyAlignment="1">
      <alignment horizontal="center"/>
    </xf>
    <xf numFmtId="166" fontId="10" fillId="5" borderId="12" xfId="0" applyNumberFormat="1" applyFont="1" applyFill="1" applyBorder="1" applyAlignment="1">
      <alignment horizontal="center"/>
    </xf>
    <xf numFmtId="166" fontId="14" fillId="4" borderId="16" xfId="0" applyNumberFormat="1" applyFont="1" applyFill="1" applyBorder="1"/>
    <xf numFmtId="3" fontId="11" fillId="0" borderId="39" xfId="0" applyNumberFormat="1" applyFont="1" applyBorder="1" applyAlignment="1">
      <alignment horizontal="center"/>
    </xf>
    <xf numFmtId="3" fontId="10" fillId="0" borderId="39" xfId="0" applyNumberFormat="1" applyFont="1" applyBorder="1" applyAlignment="1">
      <alignment horizontal="center"/>
    </xf>
    <xf numFmtId="3" fontId="6" fillId="0" borderId="39" xfId="0" applyNumberFormat="1" applyFont="1" applyBorder="1" applyAlignment="1">
      <alignment horizontal="right" indent="1"/>
    </xf>
    <xf numFmtId="3" fontId="11" fillId="0" borderId="39" xfId="0" applyNumberFormat="1" applyFont="1" applyBorder="1" applyAlignment="1">
      <alignment horizontal="right" indent="1"/>
    </xf>
    <xf numFmtId="3" fontId="10" fillId="5" borderId="28" xfId="0" applyNumberFormat="1" applyFont="1" applyFill="1" applyBorder="1" applyAlignment="1">
      <alignment horizontal="center"/>
    </xf>
    <xf numFmtId="3" fontId="11" fillId="0" borderId="29" xfId="0" applyNumberFormat="1" applyFont="1" applyBorder="1" applyAlignment="1">
      <alignment horizontal="center"/>
    </xf>
    <xf numFmtId="3" fontId="11" fillId="0" borderId="40" xfId="0" applyNumberFormat="1" applyFont="1" applyBorder="1" applyAlignment="1">
      <alignment horizontal="center"/>
    </xf>
    <xf numFmtId="3" fontId="11" fillId="0" borderId="41" xfId="0" applyNumberFormat="1" applyFont="1" applyBorder="1"/>
    <xf numFmtId="0" fontId="4" fillId="4" borderId="10" xfId="0" applyFont="1" applyFill="1" applyBorder="1"/>
    <xf numFmtId="0" fontId="4" fillId="4" borderId="11" xfId="0" applyFont="1" applyFill="1" applyBorder="1"/>
    <xf numFmtId="14" fontId="4" fillId="4" borderId="12" xfId="0" applyNumberFormat="1" applyFont="1" applyFill="1" applyBorder="1"/>
    <xf numFmtId="0" fontId="4" fillId="4" borderId="12" xfId="0" applyFont="1" applyFill="1" applyBorder="1"/>
    <xf numFmtId="4" fontId="4" fillId="4" borderId="12" xfId="0" applyNumberFormat="1" applyFont="1" applyFill="1" applyBorder="1"/>
    <xf numFmtId="164" fontId="4" fillId="4" borderId="12" xfId="0" applyNumberFormat="1" applyFont="1" applyFill="1" applyBorder="1"/>
    <xf numFmtId="14" fontId="4" fillId="4" borderId="13" xfId="0" applyNumberFormat="1" applyFont="1" applyFill="1" applyBorder="1"/>
    <xf numFmtId="164" fontId="4" fillId="4" borderId="11" xfId="0" applyNumberFormat="1" applyFont="1" applyFill="1" applyBorder="1"/>
    <xf numFmtId="0" fontId="4" fillId="4" borderId="13" xfId="0" applyFont="1" applyFill="1" applyBorder="1"/>
    <xf numFmtId="4" fontId="4" fillId="4" borderId="11" xfId="0" applyNumberFormat="1" applyFont="1" applyFill="1" applyBorder="1"/>
    <xf numFmtId="4" fontId="4" fillId="4" borderId="10" xfId="0" applyNumberFormat="1" applyFont="1" applyFill="1" applyBorder="1"/>
    <xf numFmtId="3" fontId="11" fillId="0" borderId="12" xfId="0" applyNumberFormat="1" applyFont="1" applyFill="1" applyBorder="1" applyAlignment="1">
      <alignment horizontal="right" indent="1"/>
    </xf>
    <xf numFmtId="3" fontId="11" fillId="0" borderId="12" xfId="0" applyNumberFormat="1" applyFont="1" applyFill="1" applyBorder="1"/>
    <xf numFmtId="3" fontId="10" fillId="7" borderId="11" xfId="0" applyNumberFormat="1" applyFont="1" applyFill="1" applyBorder="1" applyAlignment="1">
      <alignment horizontal="center"/>
    </xf>
    <xf numFmtId="3" fontId="10" fillId="7" borderId="39" xfId="0" applyNumberFormat="1" applyFont="1" applyFill="1" applyBorder="1" applyAlignment="1">
      <alignment horizontal="center"/>
    </xf>
    <xf numFmtId="3" fontId="11" fillId="7" borderId="12" xfId="0" applyNumberFormat="1" applyFont="1" applyFill="1" applyBorder="1"/>
    <xf numFmtId="3" fontId="11" fillId="7" borderId="13" xfId="0" applyNumberFormat="1" applyFont="1" applyFill="1" applyBorder="1"/>
    <xf numFmtId="14" fontId="4" fillId="4" borderId="13" xfId="1" applyNumberFormat="1" applyFont="1" applyFill="1" applyBorder="1"/>
    <xf numFmtId="3" fontId="11" fillId="0" borderId="13" xfId="0" applyNumberFormat="1" applyFont="1" applyFill="1" applyBorder="1" applyAlignment="1">
      <alignment horizontal="right" indent="1"/>
    </xf>
    <xf numFmtId="4" fontId="4" fillId="0" borderId="7" xfId="0" applyNumberFormat="1" applyFont="1" applyFill="1" applyBorder="1"/>
    <xf numFmtId="4" fontId="5" fillId="0" borderId="0" xfId="0" applyNumberFormat="1" applyFont="1"/>
    <xf numFmtId="0" fontId="7" fillId="4" borderId="14" xfId="0" applyFont="1" applyFill="1" applyBorder="1"/>
    <xf numFmtId="0" fontId="7" fillId="4" borderId="15" xfId="0" applyFont="1" applyFill="1" applyBorder="1"/>
    <xf numFmtId="14" fontId="7" fillId="4" borderId="16" xfId="0" applyNumberFormat="1" applyFont="1" applyFill="1" applyBorder="1"/>
    <xf numFmtId="0" fontId="7" fillId="4" borderId="16" xfId="0" applyFont="1" applyFill="1" applyBorder="1"/>
    <xf numFmtId="4" fontId="7" fillId="4" borderId="16" xfId="0" applyNumberFormat="1" applyFont="1" applyFill="1" applyBorder="1"/>
    <xf numFmtId="164" fontId="7" fillId="4" borderId="16" xfId="0" applyNumberFormat="1" applyFont="1" applyFill="1" applyBorder="1"/>
    <xf numFmtId="14" fontId="7" fillId="4" borderId="17" xfId="0" applyNumberFormat="1" applyFont="1" applyFill="1" applyBorder="1"/>
    <xf numFmtId="164" fontId="7" fillId="4" borderId="15" xfId="0" applyNumberFormat="1" applyFont="1" applyFill="1" applyBorder="1"/>
    <xf numFmtId="0" fontId="7" fillId="4" borderId="17" xfId="0" applyFont="1" applyFill="1" applyBorder="1"/>
    <xf numFmtId="4" fontId="7" fillId="4" borderId="15" xfId="0" applyNumberFormat="1" applyFont="1" applyFill="1" applyBorder="1"/>
    <xf numFmtId="4" fontId="7" fillId="4" borderId="14" xfId="0" applyNumberFormat="1" applyFont="1" applyFill="1" applyBorder="1"/>
    <xf numFmtId="0" fontId="4" fillId="4" borderId="24" xfId="0" applyFont="1" applyFill="1" applyBorder="1"/>
    <xf numFmtId="0" fontId="4" fillId="4" borderId="25" xfId="0" applyFont="1" applyFill="1" applyBorder="1"/>
    <xf numFmtId="14" fontId="4" fillId="4" borderId="26" xfId="0" applyNumberFormat="1" applyFont="1" applyFill="1" applyBorder="1"/>
    <xf numFmtId="0" fontId="4" fillId="4" borderId="26" xfId="0" applyFont="1" applyFill="1" applyBorder="1"/>
    <xf numFmtId="4" fontId="4" fillId="4" borderId="26" xfId="0" applyNumberFormat="1" applyFont="1" applyFill="1" applyBorder="1"/>
    <xf numFmtId="164" fontId="4" fillId="4" borderId="26" xfId="0" applyNumberFormat="1" applyFont="1" applyFill="1" applyBorder="1"/>
    <xf numFmtId="14" fontId="4" fillId="4" borderId="27" xfId="0" applyNumberFormat="1" applyFont="1" applyFill="1" applyBorder="1"/>
    <xf numFmtId="164" fontId="4" fillId="4" borderId="25" xfId="0" applyNumberFormat="1" applyFont="1" applyFill="1" applyBorder="1"/>
    <xf numFmtId="4" fontId="4" fillId="4" borderId="25" xfId="0" applyNumberFormat="1" applyFont="1" applyFill="1" applyBorder="1"/>
    <xf numFmtId="0" fontId="4" fillId="4" borderId="27" xfId="0" applyFont="1" applyFill="1" applyBorder="1"/>
    <xf numFmtId="4" fontId="4" fillId="4" borderId="24" xfId="0" applyNumberFormat="1" applyFont="1" applyFill="1" applyBorder="1"/>
    <xf numFmtId="0" fontId="4" fillId="4" borderId="18" xfId="0" applyFont="1" applyFill="1" applyBorder="1"/>
    <xf numFmtId="0" fontId="4" fillId="4" borderId="19" xfId="0" applyFont="1" applyFill="1" applyBorder="1"/>
    <xf numFmtId="14" fontId="4" fillId="4" borderId="20" xfId="0" applyNumberFormat="1" applyFont="1" applyFill="1" applyBorder="1"/>
    <xf numFmtId="0" fontId="4" fillId="4" borderId="20" xfId="0" applyFont="1" applyFill="1" applyBorder="1"/>
    <xf numFmtId="4" fontId="4" fillId="4" borderId="20" xfId="0" applyNumberFormat="1" applyFont="1" applyFill="1" applyBorder="1"/>
    <xf numFmtId="164" fontId="4" fillId="4" borderId="20" xfId="0" applyNumberFormat="1" applyFont="1" applyFill="1" applyBorder="1"/>
    <xf numFmtId="14" fontId="4" fillId="4" borderId="21" xfId="0" applyNumberFormat="1" applyFont="1" applyFill="1" applyBorder="1"/>
    <xf numFmtId="164" fontId="4" fillId="4" borderId="19" xfId="0" applyNumberFormat="1" applyFont="1" applyFill="1" applyBorder="1"/>
    <xf numFmtId="4" fontId="4" fillId="4" borderId="19" xfId="0" applyNumberFormat="1" applyFont="1" applyFill="1" applyBorder="1"/>
    <xf numFmtId="0" fontId="4" fillId="4" borderId="21" xfId="0" applyFont="1" applyFill="1" applyBorder="1"/>
    <xf numFmtId="4" fontId="4" fillId="4" borderId="18" xfId="0" applyNumberFormat="1" applyFont="1" applyFill="1" applyBorder="1"/>
    <xf numFmtId="0" fontId="7" fillId="0" borderId="15" xfId="0" applyFont="1" applyFill="1" applyBorder="1"/>
    <xf numFmtId="4" fontId="7" fillId="0" borderId="16" xfId="0" applyNumberFormat="1" applyFont="1" applyFill="1" applyBorder="1"/>
    <xf numFmtId="43" fontId="5" fillId="0" borderId="0" xfId="1" applyFont="1"/>
    <xf numFmtId="0" fontId="5" fillId="0" borderId="24" xfId="0" applyFont="1" applyFill="1" applyBorder="1"/>
    <xf numFmtId="0" fontId="5" fillId="0" borderId="25" xfId="0" applyFont="1" applyFill="1" applyBorder="1"/>
    <xf numFmtId="14" fontId="5" fillId="0" borderId="26" xfId="0" applyNumberFormat="1" applyFont="1" applyFill="1" applyBorder="1"/>
    <xf numFmtId="4" fontId="5" fillId="0" borderId="26" xfId="0" applyNumberFormat="1" applyFont="1" applyFill="1" applyBorder="1"/>
    <xf numFmtId="164" fontId="5" fillId="0" borderId="26" xfId="0" applyNumberFormat="1" applyFont="1" applyFill="1" applyBorder="1"/>
    <xf numFmtId="14" fontId="5" fillId="0" borderId="27" xfId="1" applyNumberFormat="1" applyFont="1" applyFill="1" applyBorder="1"/>
    <xf numFmtId="164" fontId="5" fillId="0" borderId="25" xfId="0" applyNumberFormat="1" applyFont="1" applyFill="1" applyBorder="1"/>
    <xf numFmtId="0" fontId="5" fillId="0" borderId="26" xfId="0" applyFont="1" applyFill="1" applyBorder="1"/>
    <xf numFmtId="4" fontId="5" fillId="0" borderId="25" xfId="0" applyNumberFormat="1" applyFont="1" applyFill="1" applyBorder="1"/>
    <xf numFmtId="0" fontId="5" fillId="0" borderId="27" xfId="0" applyFont="1" applyFill="1" applyBorder="1"/>
    <xf numFmtId="43" fontId="5" fillId="0" borderId="0" xfId="1" applyFont="1" applyFill="1"/>
    <xf numFmtId="0" fontId="3" fillId="0" borderId="26" xfId="0" applyFont="1" applyFill="1" applyBorder="1"/>
    <xf numFmtId="164" fontId="3" fillId="0" borderId="25" xfId="0" applyNumberFormat="1" applyFont="1" applyFill="1" applyBorder="1"/>
    <xf numFmtId="0" fontId="3" fillId="0" borderId="27" xfId="0" applyFont="1" applyFill="1" applyBorder="1"/>
    <xf numFmtId="4" fontId="3" fillId="0" borderId="25" xfId="0" applyNumberFormat="1" applyFont="1" applyFill="1" applyBorder="1"/>
    <xf numFmtId="43" fontId="3" fillId="0" borderId="0" xfId="1" applyFont="1" applyFill="1"/>
    <xf numFmtId="0" fontId="7" fillId="4" borderId="18" xfId="0" applyFont="1" applyFill="1" applyBorder="1"/>
    <xf numFmtId="0" fontId="7" fillId="4" borderId="19" xfId="0" applyFont="1" applyFill="1" applyBorder="1"/>
    <xf numFmtId="14" fontId="7" fillId="4" borderId="20" xfId="0" applyNumberFormat="1" applyFont="1" applyFill="1" applyBorder="1"/>
    <xf numFmtId="0" fontId="7" fillId="4" borderId="20" xfId="0" applyFont="1" applyFill="1" applyBorder="1"/>
    <xf numFmtId="4" fontId="7" fillId="4" borderId="20" xfId="0" applyNumberFormat="1" applyFont="1" applyFill="1" applyBorder="1"/>
    <xf numFmtId="164" fontId="7" fillId="4" borderId="20" xfId="0" applyNumberFormat="1" applyFont="1" applyFill="1" applyBorder="1"/>
    <xf numFmtId="14" fontId="7" fillId="4" borderId="21" xfId="0" applyNumberFormat="1" applyFont="1" applyFill="1" applyBorder="1"/>
    <xf numFmtId="164" fontId="7" fillId="4" borderId="19" xfId="0" applyNumberFormat="1" applyFont="1" applyFill="1" applyBorder="1"/>
    <xf numFmtId="4" fontId="7" fillId="4" borderId="19" xfId="0" applyNumberFormat="1" applyFont="1" applyFill="1" applyBorder="1"/>
    <xf numFmtId="4" fontId="7" fillId="4" borderId="18" xfId="0" applyNumberFormat="1" applyFont="1" applyFill="1" applyBorder="1"/>
    <xf numFmtId="0" fontId="7" fillId="4" borderId="10" xfId="0" applyFont="1" applyFill="1" applyBorder="1"/>
    <xf numFmtId="0" fontId="7" fillId="4" borderId="11" xfId="0" applyFont="1" applyFill="1" applyBorder="1"/>
    <xf numFmtId="14" fontId="7" fillId="4" borderId="12" xfId="0" applyNumberFormat="1" applyFont="1" applyFill="1" applyBorder="1"/>
    <xf numFmtId="0" fontId="7" fillId="4" borderId="12" xfId="0" applyFont="1" applyFill="1" applyBorder="1"/>
    <xf numFmtId="4" fontId="7" fillId="4" borderId="12" xfId="0" applyNumberFormat="1" applyFont="1" applyFill="1" applyBorder="1"/>
    <xf numFmtId="164" fontId="7" fillId="4" borderId="12" xfId="0" applyNumberFormat="1" applyFont="1" applyFill="1" applyBorder="1"/>
    <xf numFmtId="14" fontId="7" fillId="4" borderId="13" xfId="1" applyNumberFormat="1" applyFont="1" applyFill="1" applyBorder="1"/>
    <xf numFmtId="164" fontId="7" fillId="4" borderId="11" xfId="0" applyNumberFormat="1" applyFont="1" applyFill="1" applyBorder="1"/>
    <xf numFmtId="14" fontId="7" fillId="4" borderId="13" xfId="0" applyNumberFormat="1" applyFont="1" applyFill="1" applyBorder="1"/>
    <xf numFmtId="4" fontId="7" fillId="4" borderId="11" xfId="0" applyNumberFormat="1" applyFont="1" applyFill="1" applyBorder="1"/>
    <xf numFmtId="0" fontId="7" fillId="4" borderId="13" xfId="0" applyFont="1" applyFill="1" applyBorder="1"/>
    <xf numFmtId="4" fontId="7" fillId="4" borderId="10" xfId="0" applyNumberFormat="1" applyFont="1" applyFill="1" applyBorder="1"/>
    <xf numFmtId="14" fontId="2" fillId="0" borderId="27" xfId="0" applyNumberFormat="1" applyFont="1" applyFill="1" applyBorder="1"/>
    <xf numFmtId="164" fontId="2" fillId="0" borderId="25" xfId="0" applyNumberFormat="1" applyFont="1" applyFill="1" applyBorder="1"/>
    <xf numFmtId="43" fontId="4" fillId="0" borderId="0" xfId="1" applyFont="1" applyFill="1"/>
    <xf numFmtId="0" fontId="2" fillId="4" borderId="24" xfId="0" applyFont="1" applyFill="1" applyBorder="1"/>
    <xf numFmtId="0" fontId="2" fillId="4" borderId="25" xfId="0" applyFont="1" applyFill="1" applyBorder="1"/>
    <xf numFmtId="14" fontId="2" fillId="4" borderId="26" xfId="0" applyNumberFormat="1" applyFont="1" applyFill="1" applyBorder="1"/>
    <xf numFmtId="0" fontId="2" fillId="4" borderId="26" xfId="0" applyFont="1" applyFill="1" applyBorder="1"/>
    <xf numFmtId="4" fontId="2" fillId="4" borderId="26" xfId="0" applyNumberFormat="1" applyFont="1" applyFill="1" applyBorder="1"/>
    <xf numFmtId="164" fontId="2" fillId="4" borderId="26" xfId="0" applyNumberFormat="1" applyFont="1" applyFill="1" applyBorder="1"/>
    <xf numFmtId="0" fontId="2" fillId="4" borderId="27" xfId="0" applyFont="1" applyFill="1" applyBorder="1"/>
    <xf numFmtId="4" fontId="2" fillId="4" borderId="25" xfId="0" applyNumberFormat="1" applyFont="1" applyFill="1" applyBorder="1"/>
    <xf numFmtId="4" fontId="6" fillId="0" borderId="11" xfId="0" applyNumberFormat="1" applyFont="1" applyBorder="1"/>
    <xf numFmtId="0" fontId="6" fillId="0" borderId="12" xfId="0" applyFont="1" applyBorder="1"/>
    <xf numFmtId="4" fontId="6" fillId="0" borderId="12" xfId="0" applyNumberFormat="1" applyFont="1" applyBorder="1"/>
    <xf numFmtId="164" fontId="6" fillId="0" borderId="12" xfId="0" applyNumberFormat="1" applyFont="1" applyBorder="1"/>
    <xf numFmtId="0" fontId="6" fillId="0" borderId="1" xfId="0" applyFont="1" applyBorder="1"/>
    <xf numFmtId="0" fontId="2" fillId="0" borderId="4" xfId="0" applyFont="1" applyBorder="1"/>
    <xf numFmtId="0" fontId="2" fillId="0" borderId="48" xfId="0" applyFont="1" applyBorder="1"/>
    <xf numFmtId="4" fontId="6" fillId="0" borderId="5" xfId="0" applyNumberFormat="1" applyFont="1" applyBorder="1"/>
    <xf numFmtId="4" fontId="6" fillId="0" borderId="6" xfId="0" applyNumberFormat="1" applyFont="1" applyBorder="1"/>
    <xf numFmtId="0" fontId="2" fillId="0" borderId="29" xfId="0" applyFont="1" applyBorder="1"/>
    <xf numFmtId="0" fontId="2" fillId="0" borderId="41" xfId="0" applyFont="1" applyBorder="1"/>
    <xf numFmtId="11" fontId="6" fillId="0" borderId="5" xfId="0" applyNumberFormat="1" applyFont="1" applyBorder="1" applyAlignment="1">
      <alignment horizontal="center"/>
    </xf>
    <xf numFmtId="43" fontId="5" fillId="0" borderId="0" xfId="0" applyNumberFormat="1" applyFont="1"/>
    <xf numFmtId="43" fontId="5" fillId="0" borderId="0" xfId="0" applyNumberFormat="1" applyFont="1" applyFill="1"/>
    <xf numFmtId="43" fontId="6" fillId="0" borderId="0" xfId="0" applyNumberFormat="1" applyFont="1" applyFill="1"/>
    <xf numFmtId="164" fontId="2" fillId="4" borderId="25" xfId="0" applyNumberFormat="1" applyFont="1" applyFill="1" applyBorder="1"/>
    <xf numFmtId="14" fontId="2" fillId="4" borderId="27" xfId="0" applyNumberFormat="1" applyFont="1" applyFill="1" applyBorder="1"/>
    <xf numFmtId="4" fontId="5" fillId="0" borderId="24" xfId="0" applyNumberFormat="1" applyFont="1" applyFill="1" applyBorder="1"/>
    <xf numFmtId="4" fontId="3" fillId="0" borderId="24" xfId="0" applyNumberFormat="1" applyFont="1" applyFill="1" applyBorder="1"/>
    <xf numFmtId="4" fontId="2" fillId="4" borderId="24" xfId="0" applyNumberFormat="1" applyFont="1" applyFill="1" applyBorder="1"/>
    <xf numFmtId="172" fontId="0" fillId="0" borderId="0" xfId="0" applyNumberFormat="1"/>
    <xf numFmtId="14" fontId="4" fillId="4" borderId="27" xfId="1" applyNumberFormat="1" applyFont="1" applyFill="1" applyBorder="1"/>
    <xf numFmtId="2" fontId="5" fillId="0" borderId="0" xfId="0" applyNumberFormat="1" applyFont="1"/>
    <xf numFmtId="173" fontId="0" fillId="0" borderId="0" xfId="0" applyNumberFormat="1"/>
    <xf numFmtId="3" fontId="10" fillId="5" borderId="19" xfId="0" applyNumberFormat="1" applyFont="1" applyFill="1" applyBorder="1" applyAlignment="1">
      <alignment horizontal="center"/>
    </xf>
    <xf numFmtId="3" fontId="10" fillId="5" borderId="20" xfId="0" applyNumberFormat="1" applyFont="1" applyFill="1" applyBorder="1" applyAlignment="1">
      <alignment horizontal="center"/>
    </xf>
    <xf numFmtId="3" fontId="10" fillId="5" borderId="21" xfId="0" applyNumberFormat="1" applyFont="1" applyFill="1" applyBorder="1" applyAlignment="1">
      <alignment horizontal="center"/>
    </xf>
    <xf numFmtId="0" fontId="27" fillId="0" borderId="0" xfId="0" applyFont="1"/>
    <xf numFmtId="3" fontId="27" fillId="0" borderId="0" xfId="0" applyNumberFormat="1" applyFont="1"/>
    <xf numFmtId="3" fontId="13" fillId="0" borderId="0" xfId="0" applyNumberFormat="1" applyFont="1"/>
    <xf numFmtId="0" fontId="13" fillId="0" borderId="0" xfId="0" applyFont="1"/>
    <xf numFmtId="3" fontId="26" fillId="0" borderId="0" xfId="0" applyNumberFormat="1" applyFont="1"/>
    <xf numFmtId="164" fontId="7" fillId="4" borderId="25" xfId="0" applyNumberFormat="1" applyFont="1" applyFill="1" applyBorder="1"/>
    <xf numFmtId="0" fontId="7" fillId="4" borderId="26" xfId="0" applyFont="1" applyFill="1" applyBorder="1"/>
    <xf numFmtId="14" fontId="7" fillId="4" borderId="27" xfId="0" applyNumberFormat="1" applyFont="1" applyFill="1" applyBorder="1"/>
    <xf numFmtId="174" fontId="0" fillId="0" borderId="0" xfId="0" applyNumberFormat="1"/>
    <xf numFmtId="0" fontId="7" fillId="0" borderId="16" xfId="0" applyFont="1" applyFill="1" applyBorder="1"/>
    <xf numFmtId="14" fontId="2" fillId="0" borderId="0" xfId="0" applyNumberFormat="1" applyFont="1"/>
    <xf numFmtId="14" fontId="2" fillId="0" borderId="0" xfId="1" applyNumberFormat="1" applyFont="1"/>
    <xf numFmtId="3" fontId="26" fillId="0" borderId="12" xfId="0" applyNumberFormat="1" applyFont="1" applyFill="1" applyBorder="1" applyAlignment="1">
      <alignment horizontal="right" indent="1"/>
    </xf>
    <xf numFmtId="4" fontId="7" fillId="0" borderId="0" xfId="0" applyNumberFormat="1" applyFont="1" applyFill="1"/>
    <xf numFmtId="14" fontId="17" fillId="0" borderId="0" xfId="0" applyNumberFormat="1" applyFont="1"/>
    <xf numFmtId="0" fontId="7" fillId="0" borderId="11" xfId="0" applyFont="1" applyFill="1" applyBorder="1"/>
    <xf numFmtId="4" fontId="4" fillId="0" borderId="0" xfId="0" applyNumberFormat="1" applyFont="1" applyFill="1"/>
    <xf numFmtId="3" fontId="10" fillId="0" borderId="43" xfId="0" applyNumberFormat="1" applyFont="1" applyBorder="1" applyAlignment="1">
      <alignment horizontal="right"/>
    </xf>
    <xf numFmtId="3" fontId="18" fillId="0" borderId="12" xfId="0" applyNumberFormat="1" applyFont="1" applyFill="1" applyBorder="1"/>
    <xf numFmtId="4" fontId="2" fillId="0" borderId="24" xfId="0" applyNumberFormat="1" applyFont="1" applyFill="1" applyBorder="1"/>
    <xf numFmtId="0" fontId="7" fillId="0" borderId="0" xfId="0" applyFont="1" applyFill="1" applyBorder="1"/>
    <xf numFmtId="0" fontId="7" fillId="0" borderId="17" xfId="0" applyFont="1" applyFill="1" applyBorder="1"/>
    <xf numFmtId="164" fontId="7" fillId="0" borderId="0" xfId="0" applyNumberFormat="1" applyFont="1" applyFill="1"/>
    <xf numFmtId="164" fontId="4" fillId="0" borderId="6" xfId="0" applyNumberFormat="1" applyFont="1" applyFill="1" applyBorder="1" applyAlignment="1">
      <alignment horizontal="center"/>
    </xf>
    <xf numFmtId="164" fontId="7" fillId="0" borderId="12" xfId="0" applyNumberFormat="1" applyFont="1" applyFill="1" applyBorder="1"/>
    <xf numFmtId="164" fontId="4" fillId="0" borderId="31" xfId="0" applyNumberFormat="1" applyFont="1" applyFill="1" applyBorder="1"/>
    <xf numFmtId="164" fontId="7" fillId="0" borderId="16" xfId="0" applyNumberFormat="1" applyFont="1" applyFill="1" applyBorder="1"/>
    <xf numFmtId="164" fontId="4" fillId="0" borderId="0" xfId="0" applyNumberFormat="1" applyFont="1" applyFill="1" applyBorder="1"/>
    <xf numFmtId="14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center"/>
    </xf>
    <xf numFmtId="4" fontId="4" fillId="0" borderId="0" xfId="0" applyNumberFormat="1" applyFont="1" applyFill="1" applyBorder="1"/>
    <xf numFmtId="164" fontId="7" fillId="0" borderId="0" xfId="0" applyNumberFormat="1" applyFont="1" applyFill="1" applyBorder="1"/>
    <xf numFmtId="0" fontId="4" fillId="0" borderId="0" xfId="0" applyFont="1" applyFill="1" applyBorder="1"/>
    <xf numFmtId="14" fontId="5" fillId="0" borderId="27" xfId="0" applyNumberFormat="1" applyFont="1" applyFill="1" applyBorder="1"/>
    <xf numFmtId="0" fontId="7" fillId="0" borderId="12" xfId="0" applyFont="1" applyFill="1" applyBorder="1"/>
    <xf numFmtId="4" fontId="7" fillId="0" borderId="12" xfId="0" applyNumberFormat="1" applyFont="1" applyFill="1" applyBorder="1"/>
    <xf numFmtId="4" fontId="2" fillId="0" borderId="14" xfId="0" applyNumberFormat="1" applyFont="1" applyFill="1" applyBorder="1"/>
    <xf numFmtId="14" fontId="6" fillId="0" borderId="0" xfId="1" applyNumberFormat="1" applyFont="1" applyFill="1"/>
    <xf numFmtId="4" fontId="3" fillId="0" borderId="0" xfId="0" applyNumberFormat="1" applyFont="1" applyFill="1"/>
    <xf numFmtId="4" fontId="6" fillId="0" borderId="0" xfId="0" applyNumberFormat="1" applyFont="1" applyFill="1"/>
    <xf numFmtId="0" fontId="7" fillId="4" borderId="27" xfId="0" applyFont="1" applyFill="1" applyBorder="1"/>
    <xf numFmtId="0" fontId="7" fillId="0" borderId="25" xfId="0" applyFont="1" applyFill="1" applyBorder="1"/>
    <xf numFmtId="164" fontId="7" fillId="0" borderId="26" xfId="0" applyNumberFormat="1" applyFont="1" applyFill="1" applyBorder="1"/>
    <xf numFmtId="0" fontId="3" fillId="0" borderId="25" xfId="0" applyFont="1" applyFill="1" applyBorder="1"/>
    <xf numFmtId="164" fontId="3" fillId="0" borderId="26" xfId="0" applyNumberFormat="1" applyFont="1" applyFill="1" applyBorder="1"/>
    <xf numFmtId="0" fontId="3" fillId="0" borderId="24" xfId="0" applyFont="1" applyFill="1" applyBorder="1"/>
    <xf numFmtId="14" fontId="3" fillId="0" borderId="26" xfId="0" applyNumberFormat="1" applyFont="1" applyFill="1" applyBorder="1"/>
    <xf numFmtId="4" fontId="3" fillId="0" borderId="26" xfId="0" applyNumberFormat="1" applyFont="1" applyFill="1" applyBorder="1"/>
    <xf numFmtId="14" fontId="3" fillId="0" borderId="27" xfId="1" applyNumberFormat="1" applyFont="1" applyFill="1" applyBorder="1"/>
    <xf numFmtId="14" fontId="3" fillId="0" borderId="27" xfId="0" applyNumberFormat="1" applyFont="1" applyFill="1" applyBorder="1"/>
    <xf numFmtId="4" fontId="4" fillId="0" borderId="57" xfId="0" applyNumberFormat="1" applyFont="1" applyFill="1" applyBorder="1"/>
    <xf numFmtId="3" fontId="28" fillId="0" borderId="12" xfId="0" applyNumberFormat="1" applyFont="1" applyFill="1" applyBorder="1" applyAlignment="1">
      <alignment horizontal="right" indent="1"/>
    </xf>
    <xf numFmtId="43" fontId="0" fillId="0" borderId="0" xfId="1" applyFont="1"/>
    <xf numFmtId="4" fontId="3" fillId="0" borderId="0" xfId="0" applyNumberFormat="1" applyFont="1"/>
    <xf numFmtId="4" fontId="5" fillId="0" borderId="0" xfId="0" applyNumberFormat="1" applyFont="1" applyFill="1"/>
    <xf numFmtId="4" fontId="5" fillId="0" borderId="0" xfId="0" applyNumberFormat="1" applyFont="1" applyBorder="1"/>
    <xf numFmtId="4" fontId="7" fillId="0" borderId="0" xfId="0" applyNumberFormat="1" applyFont="1"/>
    <xf numFmtId="0" fontId="6" fillId="0" borderId="24" xfId="0" applyFont="1" applyBorder="1"/>
    <xf numFmtId="164" fontId="6" fillId="0" borderId="26" xfId="0" applyNumberFormat="1" applyFont="1" applyBorder="1"/>
    <xf numFmtId="4" fontId="6" fillId="0" borderId="25" xfId="0" applyNumberFormat="1" applyFont="1" applyBorder="1"/>
    <xf numFmtId="43" fontId="6" fillId="0" borderId="0" xfId="1" applyFont="1"/>
    <xf numFmtId="0" fontId="7" fillId="4" borderId="24" xfId="0" applyFont="1" applyFill="1" applyBorder="1"/>
    <xf numFmtId="0" fontId="7" fillId="4" borderId="25" xfId="0" applyFont="1" applyFill="1" applyBorder="1"/>
    <xf numFmtId="14" fontId="7" fillId="4" borderId="26" xfId="0" applyNumberFormat="1" applyFont="1" applyFill="1" applyBorder="1"/>
    <xf numFmtId="4" fontId="7" fillId="4" borderId="26" xfId="0" applyNumberFormat="1" applyFont="1" applyFill="1" applyBorder="1"/>
    <xf numFmtId="164" fontId="7" fillId="4" borderId="26" xfId="0" applyNumberFormat="1" applyFont="1" applyFill="1" applyBorder="1"/>
    <xf numFmtId="14" fontId="7" fillId="4" borderId="27" xfId="1" applyNumberFormat="1" applyFont="1" applyFill="1" applyBorder="1"/>
    <xf numFmtId="4" fontId="7" fillId="4" borderId="25" xfId="0" applyNumberFormat="1" applyFont="1" applyFill="1" applyBorder="1"/>
    <xf numFmtId="4" fontId="7" fillId="4" borderId="24" xfId="0" applyNumberFormat="1" applyFont="1" applyFill="1" applyBorder="1"/>
    <xf numFmtId="166" fontId="10" fillId="5" borderId="42" xfId="0" applyNumberFormat="1" applyFont="1" applyFill="1" applyBorder="1" applyAlignment="1">
      <alignment horizontal="center"/>
    </xf>
    <xf numFmtId="3" fontId="11" fillId="0" borderId="49" xfId="0" applyNumberFormat="1" applyFont="1" applyBorder="1"/>
    <xf numFmtId="3" fontId="11" fillId="0" borderId="42" xfId="0" applyNumberFormat="1" applyFont="1" applyBorder="1"/>
    <xf numFmtId="3" fontId="10" fillId="0" borderId="42" xfId="0" applyNumberFormat="1" applyFont="1" applyBorder="1"/>
    <xf numFmtId="3" fontId="11" fillId="0" borderId="42" xfId="0" applyNumberFormat="1" applyFont="1" applyFill="1" applyBorder="1"/>
    <xf numFmtId="3" fontId="11" fillId="7" borderId="42" xfId="0" applyNumberFormat="1" applyFont="1" applyFill="1" applyBorder="1"/>
    <xf numFmtId="3" fontId="11" fillId="0" borderId="11" xfId="0" applyNumberFormat="1" applyFont="1" applyBorder="1"/>
    <xf numFmtId="3" fontId="11" fillId="7" borderId="11" xfId="0" applyNumberFormat="1" applyFont="1" applyFill="1" applyBorder="1"/>
    <xf numFmtId="3" fontId="10" fillId="0" borderId="42" xfId="0" applyNumberFormat="1" applyFont="1" applyBorder="1" applyAlignment="1">
      <alignment horizontal="right"/>
    </xf>
    <xf numFmtId="3" fontId="2" fillId="0" borderId="42" xfId="0" applyNumberFormat="1" applyFont="1" applyBorder="1" applyAlignment="1">
      <alignment horizontal="right" indent="1"/>
    </xf>
    <xf numFmtId="3" fontId="7" fillId="0" borderId="42" xfId="0" applyNumberFormat="1" applyFont="1" applyBorder="1" applyAlignment="1">
      <alignment horizontal="right" indent="1"/>
    </xf>
    <xf numFmtId="3" fontId="11" fillId="0" borderId="42" xfId="0" applyNumberFormat="1" applyFont="1" applyBorder="1" applyAlignment="1">
      <alignment horizontal="right" indent="1"/>
    </xf>
    <xf numFmtId="166" fontId="14" fillId="4" borderId="44" xfId="0" applyNumberFormat="1" applyFont="1" applyFill="1" applyBorder="1"/>
    <xf numFmtId="3" fontId="11" fillId="0" borderId="43" xfId="0" applyNumberFormat="1" applyFont="1" applyBorder="1"/>
    <xf numFmtId="3" fontId="10" fillId="0" borderId="43" xfId="0" applyNumberFormat="1" applyFont="1" applyBorder="1"/>
    <xf numFmtId="3" fontId="11" fillId="7" borderId="43" xfId="0" applyNumberFormat="1" applyFont="1" applyFill="1" applyBorder="1"/>
    <xf numFmtId="3" fontId="2" fillId="0" borderId="43" xfId="0" applyNumberFormat="1" applyFont="1" applyBorder="1" applyAlignment="1">
      <alignment horizontal="right" indent="1"/>
    </xf>
    <xf numFmtId="3" fontId="11" fillId="0" borderId="43" xfId="0" applyNumberFormat="1" applyFont="1" applyFill="1" applyBorder="1" applyAlignment="1">
      <alignment horizontal="right" indent="1"/>
    </xf>
    <xf numFmtId="3" fontId="11" fillId="0" borderId="43" xfId="0" applyNumberFormat="1" applyFont="1" applyBorder="1" applyAlignment="1">
      <alignment horizontal="right" indent="1"/>
    </xf>
    <xf numFmtId="166" fontId="10" fillId="5" borderId="43" xfId="0" applyNumberFormat="1" applyFont="1" applyFill="1" applyBorder="1" applyAlignment="1">
      <alignment horizontal="center"/>
    </xf>
    <xf numFmtId="166" fontId="14" fillId="4" borderId="45" xfId="0" applyNumberFormat="1" applyFont="1" applyFill="1" applyBorder="1"/>
    <xf numFmtId="3" fontId="28" fillId="0" borderId="13" xfId="0" applyNumberFormat="1" applyFont="1" applyFill="1" applyBorder="1" applyAlignment="1">
      <alignment horizontal="right" indent="1"/>
    </xf>
    <xf numFmtId="3" fontId="2" fillId="0" borderId="11" xfId="0" applyNumberFormat="1" applyFont="1" applyBorder="1" applyAlignment="1">
      <alignment horizontal="right" indent="1"/>
    </xf>
    <xf numFmtId="3" fontId="10" fillId="0" borderId="12" xfId="0" applyNumberFormat="1" applyFont="1" applyFill="1" applyBorder="1"/>
    <xf numFmtId="0" fontId="7" fillId="0" borderId="19" xfId="0" applyFont="1" applyFill="1" applyBorder="1"/>
    <xf numFmtId="4" fontId="7" fillId="0" borderId="20" xfId="0" applyNumberFormat="1" applyFont="1" applyFill="1" applyBorder="1"/>
    <xf numFmtId="164" fontId="7" fillId="0" borderId="20" xfId="0" applyNumberFormat="1" applyFont="1" applyFill="1" applyBorder="1"/>
    <xf numFmtId="11" fontId="6" fillId="0" borderId="6" xfId="0" applyNumberFormat="1" applyFont="1" applyBorder="1" applyAlignment="1">
      <alignment horizontal="center"/>
    </xf>
    <xf numFmtId="43" fontId="7" fillId="0" borderId="0" xfId="1" applyFont="1"/>
    <xf numFmtId="0" fontId="7" fillId="0" borderId="24" xfId="0" applyFont="1" applyFill="1" applyBorder="1"/>
    <xf numFmtId="14" fontId="7" fillId="0" borderId="26" xfId="0" applyNumberFormat="1" applyFont="1" applyFill="1" applyBorder="1"/>
    <xf numFmtId="0" fontId="7" fillId="0" borderId="26" xfId="0" applyFont="1" applyFill="1" applyBorder="1"/>
    <xf numFmtId="4" fontId="7" fillId="0" borderId="26" xfId="0" applyNumberFormat="1" applyFont="1" applyFill="1" applyBorder="1"/>
    <xf numFmtId="14" fontId="7" fillId="0" borderId="27" xfId="0" applyNumberFormat="1" applyFont="1" applyFill="1" applyBorder="1"/>
    <xf numFmtId="164" fontId="7" fillId="0" borderId="25" xfId="0" applyNumberFormat="1" applyFont="1" applyFill="1" applyBorder="1"/>
    <xf numFmtId="4" fontId="7" fillId="0" borderId="25" xfId="0" applyNumberFormat="1" applyFont="1" applyFill="1" applyBorder="1"/>
    <xf numFmtId="0" fontId="7" fillId="0" borderId="27" xfId="0" applyFont="1" applyFill="1" applyBorder="1"/>
    <xf numFmtId="4" fontId="7" fillId="0" borderId="24" xfId="0" applyNumberFormat="1" applyFont="1" applyFill="1" applyBorder="1"/>
    <xf numFmtId="4" fontId="7" fillId="0" borderId="21" xfId="0" applyNumberFormat="1" applyFont="1" applyFill="1" applyBorder="1"/>
    <xf numFmtId="4" fontId="7" fillId="0" borderId="13" xfId="0" applyNumberFormat="1" applyFont="1" applyFill="1" applyBorder="1"/>
    <xf numFmtId="3" fontId="11" fillId="0" borderId="11" xfId="0" applyNumberFormat="1" applyFont="1" applyFill="1" applyBorder="1"/>
    <xf numFmtId="3" fontId="11" fillId="0" borderId="13" xfId="0" applyNumberFormat="1" applyFont="1" applyFill="1" applyBorder="1"/>
    <xf numFmtId="3" fontId="11" fillId="0" borderId="42" xfId="0" applyNumberFormat="1" applyFont="1" applyFill="1" applyBorder="1" applyAlignment="1">
      <alignment horizontal="right" indent="1"/>
    </xf>
    <xf numFmtId="3" fontId="11" fillId="0" borderId="11" xfId="0" applyNumberFormat="1" applyFont="1" applyFill="1" applyBorder="1" applyAlignment="1">
      <alignment horizontal="right" indent="1"/>
    </xf>
    <xf numFmtId="3" fontId="13" fillId="0" borderId="12" xfId="0" applyNumberFormat="1" applyFont="1" applyFill="1" applyBorder="1"/>
    <xf numFmtId="3" fontId="11" fillId="0" borderId="0" xfId="0" applyNumberFormat="1" applyFont="1" applyFill="1" applyBorder="1"/>
    <xf numFmtId="3" fontId="13" fillId="0" borderId="42" xfId="0" applyNumberFormat="1" applyFont="1" applyFill="1" applyBorder="1"/>
    <xf numFmtId="0" fontId="29" fillId="0" borderId="2" xfId="0" applyFont="1" applyFill="1" applyBorder="1" applyAlignment="1">
      <alignment horizontal="center" vertical="center"/>
    </xf>
    <xf numFmtId="0" fontId="30" fillId="0" borderId="28" xfId="0" applyFont="1" applyFill="1" applyBorder="1"/>
    <xf numFmtId="170" fontId="30" fillId="0" borderId="28" xfId="0" applyNumberFormat="1" applyFont="1" applyFill="1" applyBorder="1"/>
    <xf numFmtId="0" fontId="0" fillId="0" borderId="28" xfId="0" applyFont="1" applyFill="1" applyBorder="1" applyAlignment="1">
      <alignment wrapText="1"/>
    </xf>
    <xf numFmtId="171" fontId="0" fillId="0" borderId="28" xfId="0" applyNumberFormat="1" applyFont="1" applyFill="1" applyBorder="1" applyAlignment="1">
      <alignment horizontal="right" wrapText="1"/>
    </xf>
    <xf numFmtId="14" fontId="30" fillId="0" borderId="28" xfId="0" applyNumberFormat="1" applyFont="1" applyFill="1" applyBorder="1"/>
    <xf numFmtId="14" fontId="30" fillId="0" borderId="28" xfId="0" applyNumberFormat="1" applyFont="1" applyFill="1" applyBorder="1" applyAlignment="1">
      <alignment horizontal="right"/>
    </xf>
    <xf numFmtId="0" fontId="31" fillId="0" borderId="28" xfId="0" applyFont="1" applyFill="1" applyBorder="1"/>
    <xf numFmtId="9" fontId="7" fillId="0" borderId="20" xfId="0" applyNumberFormat="1" applyFont="1" applyFill="1" applyBorder="1"/>
    <xf numFmtId="9" fontId="7" fillId="0" borderId="12" xfId="0" applyNumberFormat="1" applyFont="1" applyFill="1" applyBorder="1"/>
    <xf numFmtId="176" fontId="7" fillId="0" borderId="21" xfId="0" applyNumberFormat="1" applyFont="1" applyFill="1" applyBorder="1"/>
    <xf numFmtId="176" fontId="7" fillId="0" borderId="13" xfId="0" applyNumberFormat="1" applyFont="1" applyFill="1" applyBorder="1"/>
    <xf numFmtId="164" fontId="7" fillId="0" borderId="0" xfId="0" applyNumberFormat="1" applyFont="1"/>
    <xf numFmtId="175" fontId="7" fillId="0" borderId="0" xfId="0" applyNumberFormat="1" applyFont="1" applyAlignment="1">
      <alignment horizontal="center"/>
    </xf>
    <xf numFmtId="0" fontId="4" fillId="0" borderId="0" xfId="0" applyFont="1"/>
    <xf numFmtId="3" fontId="18" fillId="7" borderId="15" xfId="0" applyNumberFormat="1" applyFont="1" applyFill="1" applyBorder="1"/>
    <xf numFmtId="3" fontId="18" fillId="7" borderId="16" xfId="0" applyNumberFormat="1" applyFont="1" applyFill="1" applyBorder="1"/>
    <xf numFmtId="3" fontId="18" fillId="7" borderId="17" xfId="0" applyNumberFormat="1" applyFont="1" applyFill="1" applyBorder="1"/>
    <xf numFmtId="3" fontId="16" fillId="6" borderId="63" xfId="0" applyNumberFormat="1" applyFont="1" applyFill="1" applyBorder="1" applyAlignment="1">
      <alignment horizontal="center"/>
    </xf>
    <xf numFmtId="3" fontId="16" fillId="6" borderId="64" xfId="0" applyNumberFormat="1" applyFont="1" applyFill="1" applyBorder="1" applyAlignment="1">
      <alignment horizontal="center"/>
    </xf>
    <xf numFmtId="3" fontId="10" fillId="0" borderId="19" xfId="0" applyNumberFormat="1" applyFont="1" applyBorder="1" applyAlignment="1">
      <alignment horizontal="right"/>
    </xf>
    <xf numFmtId="3" fontId="10" fillId="0" borderId="20" xfId="0" applyNumberFormat="1" applyFont="1" applyBorder="1" applyAlignment="1">
      <alignment horizontal="right"/>
    </xf>
    <xf numFmtId="3" fontId="10" fillId="0" borderId="21" xfId="0" applyNumberFormat="1" applyFont="1" applyBorder="1" applyAlignment="1">
      <alignment horizontal="right"/>
    </xf>
    <xf numFmtId="3" fontId="26" fillId="0" borderId="11" xfId="0" applyNumberFormat="1" applyFont="1" applyFill="1" applyBorder="1" applyAlignment="1">
      <alignment horizontal="right" indent="1"/>
    </xf>
    <xf numFmtId="3" fontId="11" fillId="0" borderId="11" xfId="0" applyNumberFormat="1" applyFont="1" applyFill="1" applyBorder="1" applyAlignment="1">
      <alignment horizontal="center"/>
    </xf>
    <xf numFmtId="3" fontId="11" fillId="0" borderId="39" xfId="0" applyNumberFormat="1" applyFont="1" applyFill="1" applyBorder="1" applyAlignment="1">
      <alignment horizontal="center"/>
    </xf>
    <xf numFmtId="3" fontId="26" fillId="0" borderId="12" xfId="0" applyNumberFormat="1" applyFont="1" applyFill="1" applyBorder="1"/>
    <xf numFmtId="3" fontId="11" fillId="0" borderId="43" xfId="0" applyNumberFormat="1" applyFont="1" applyFill="1" applyBorder="1"/>
    <xf numFmtId="3" fontId="11" fillId="0" borderId="39" xfId="0" applyNumberFormat="1" applyFont="1" applyFill="1" applyBorder="1" applyAlignment="1">
      <alignment horizontal="right" indent="1"/>
    </xf>
    <xf numFmtId="3" fontId="18" fillId="0" borderId="12" xfId="0" applyNumberFormat="1" applyFont="1" applyFill="1" applyBorder="1" applyAlignment="1">
      <alignment horizontal="right" indent="1"/>
    </xf>
    <xf numFmtId="4" fontId="11" fillId="0" borderId="0" xfId="0" applyNumberFormat="1" applyFont="1"/>
    <xf numFmtId="177" fontId="6" fillId="0" borderId="0" xfId="1" applyNumberFormat="1" applyFont="1" applyFill="1"/>
    <xf numFmtId="3" fontId="2" fillId="0" borderId="12" xfId="0" applyNumberFormat="1" applyFont="1" applyFill="1" applyBorder="1" applyAlignment="1">
      <alignment horizontal="right" indent="1"/>
    </xf>
    <xf numFmtId="0" fontId="7" fillId="0" borderId="0" xfId="0" applyFont="1" applyFill="1" applyBorder="1" applyAlignment="1">
      <alignment horizontal="center"/>
    </xf>
    <xf numFmtId="4" fontId="7" fillId="0" borderId="0" xfId="0" applyNumberFormat="1" applyFont="1" applyFill="1" applyBorder="1"/>
    <xf numFmtId="4" fontId="4" fillId="0" borderId="0" xfId="0" applyNumberFormat="1" applyFont="1"/>
    <xf numFmtId="43" fontId="4" fillId="0" borderId="0" xfId="1" applyFont="1"/>
    <xf numFmtId="0" fontId="2" fillId="0" borderId="10" xfId="0" applyFont="1" applyFill="1" applyBorder="1" applyAlignment="1">
      <alignment horizontal="left" indent="2"/>
    </xf>
    <xf numFmtId="0" fontId="11" fillId="0" borderId="0" xfId="0" applyFont="1" applyFill="1"/>
    <xf numFmtId="3" fontId="18" fillId="0" borderId="42" xfId="0" applyNumberFormat="1" applyFont="1" applyFill="1" applyBorder="1"/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175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" fontId="7" fillId="0" borderId="0" xfId="0" applyNumberFormat="1" applyFont="1" applyFill="1" applyBorder="1" applyAlignment="1">
      <alignment vertical="center"/>
    </xf>
    <xf numFmtId="164" fontId="7" fillId="0" borderId="0" xfId="0" applyNumberFormat="1" applyFont="1" applyFill="1" applyBorder="1" applyAlignment="1">
      <alignment vertical="center"/>
    </xf>
    <xf numFmtId="14" fontId="7" fillId="0" borderId="0" xfId="0" applyNumberFormat="1" applyFont="1" applyFill="1" applyBorder="1" applyAlignment="1">
      <alignment vertical="center"/>
    </xf>
    <xf numFmtId="3" fontId="11" fillId="0" borderId="29" xfId="0" applyNumberFormat="1" applyFont="1" applyBorder="1"/>
    <xf numFmtId="3" fontId="11" fillId="0" borderId="30" xfId="0" applyNumberFormat="1" applyFont="1" applyBorder="1"/>
    <xf numFmtId="3" fontId="11" fillId="0" borderId="50" xfId="0" applyNumberFormat="1" applyFont="1" applyBorder="1"/>
    <xf numFmtId="3" fontId="10" fillId="5" borderId="18" xfId="0" applyNumberFormat="1" applyFont="1" applyFill="1" applyBorder="1" applyAlignment="1">
      <alignment horizontal="center"/>
    </xf>
    <xf numFmtId="0" fontId="3" fillId="0" borderId="5" xfId="0" applyFont="1" applyFill="1" applyBorder="1"/>
    <xf numFmtId="0" fontId="3" fillId="0" borderId="6" xfId="0" applyFont="1" applyFill="1" applyBorder="1"/>
    <xf numFmtId="4" fontId="3" fillId="0" borderId="6" xfId="0" applyNumberFormat="1" applyFont="1" applyFill="1" applyBorder="1"/>
    <xf numFmtId="164" fontId="3" fillId="0" borderId="6" xfId="0" applyNumberFormat="1" applyFont="1" applyFill="1" applyBorder="1"/>
    <xf numFmtId="14" fontId="3" fillId="0" borderId="6" xfId="0" applyNumberFormat="1" applyFont="1" applyFill="1" applyBorder="1"/>
    <xf numFmtId="14" fontId="3" fillId="0" borderId="7" xfId="0" applyNumberFormat="1" applyFont="1" applyFill="1" applyBorder="1" applyAlignment="1">
      <alignment horizontal="right"/>
    </xf>
    <xf numFmtId="178" fontId="7" fillId="0" borderId="0" xfId="5" applyNumberFormat="1" applyFont="1"/>
    <xf numFmtId="167" fontId="2" fillId="0" borderId="0" xfId="0" applyNumberFormat="1" applyFont="1"/>
    <xf numFmtId="3" fontId="10" fillId="0" borderId="30" xfId="0" applyNumberFormat="1" applyFont="1" applyBorder="1" applyAlignment="1">
      <alignment horizontal="right"/>
    </xf>
    <xf numFmtId="3" fontId="16" fillId="6" borderId="5" xfId="0" applyNumberFormat="1" applyFont="1" applyFill="1" applyBorder="1" applyAlignment="1">
      <alignment horizontal="center"/>
    </xf>
    <xf numFmtId="3" fontId="16" fillId="6" borderId="7" xfId="0" applyNumberFormat="1" applyFont="1" applyFill="1" applyBorder="1" applyAlignment="1">
      <alignment horizontal="center"/>
    </xf>
    <xf numFmtId="3" fontId="18" fillId="7" borderId="65" xfId="0" applyNumberFormat="1" applyFont="1" applyFill="1" applyBorder="1"/>
    <xf numFmtId="3" fontId="18" fillId="7" borderId="27" xfId="0" applyNumberFormat="1" applyFont="1" applyFill="1" applyBorder="1"/>
    <xf numFmtId="3" fontId="10" fillId="0" borderId="50" xfId="0" applyNumberFormat="1" applyFont="1" applyBorder="1" applyAlignment="1">
      <alignment horizontal="right"/>
    </xf>
    <xf numFmtId="3" fontId="16" fillId="6" borderId="6" xfId="0" applyNumberFormat="1" applyFont="1" applyFill="1" applyBorder="1" applyAlignment="1">
      <alignment horizontal="center"/>
    </xf>
    <xf numFmtId="3" fontId="16" fillId="6" borderId="28" xfId="0" applyNumberFormat="1" applyFont="1" applyFill="1" applyBorder="1" applyAlignment="1">
      <alignment horizontal="center"/>
    </xf>
    <xf numFmtId="3" fontId="16" fillId="6" borderId="66" xfId="0" applyNumberFormat="1" applyFont="1" applyFill="1" applyBorder="1" applyAlignment="1">
      <alignment horizontal="center"/>
    </xf>
    <xf numFmtId="3" fontId="14" fillId="7" borderId="25" xfId="0" applyNumberFormat="1" applyFont="1" applyFill="1" applyBorder="1" applyAlignment="1">
      <alignment horizontal="center"/>
    </xf>
    <xf numFmtId="3" fontId="18" fillId="7" borderId="26" xfId="0" applyNumberFormat="1" applyFont="1" applyFill="1" applyBorder="1"/>
    <xf numFmtId="3" fontId="18" fillId="7" borderId="58" xfId="0" applyNumberFormat="1" applyFont="1" applyFill="1" applyBorder="1"/>
    <xf numFmtId="3" fontId="10" fillId="0" borderId="29" xfId="0" applyNumberFormat="1" applyFont="1" applyBorder="1" applyAlignment="1">
      <alignment horizontal="right"/>
    </xf>
    <xf numFmtId="3" fontId="10" fillId="0" borderId="41" xfId="0" applyNumberFormat="1" applyFont="1" applyBorder="1" applyAlignment="1">
      <alignment horizontal="right"/>
    </xf>
    <xf numFmtId="3" fontId="10" fillId="0" borderId="49" xfId="0" applyNumberFormat="1" applyFont="1" applyBorder="1" applyAlignment="1">
      <alignment horizontal="right"/>
    </xf>
    <xf numFmtId="3" fontId="11" fillId="0" borderId="19" xfId="0" applyNumberFormat="1" applyFont="1" applyBorder="1"/>
    <xf numFmtId="3" fontId="11" fillId="0" borderId="21" xfId="0" applyNumberFormat="1" applyFont="1" applyBorder="1"/>
    <xf numFmtId="3" fontId="12" fillId="6" borderId="55" xfId="0" applyNumberFormat="1" applyFont="1" applyFill="1" applyBorder="1"/>
    <xf numFmtId="166" fontId="10" fillId="5" borderId="15" xfId="0" applyNumberFormat="1" applyFont="1" applyFill="1" applyBorder="1" applyAlignment="1">
      <alignment horizontal="center"/>
    </xf>
    <xf numFmtId="166" fontId="10" fillId="5" borderId="17" xfId="0" applyNumberFormat="1" applyFont="1" applyFill="1" applyBorder="1" applyAlignment="1">
      <alignment horizontal="center"/>
    </xf>
    <xf numFmtId="3" fontId="14" fillId="7" borderId="67" xfId="0" applyNumberFormat="1" applyFont="1" applyFill="1" applyBorder="1" applyAlignment="1">
      <alignment horizontal="center"/>
    </xf>
    <xf numFmtId="3" fontId="10" fillId="0" borderId="40" xfId="0" applyNumberFormat="1" applyFont="1" applyBorder="1" applyAlignment="1">
      <alignment horizontal="right"/>
    </xf>
    <xf numFmtId="3" fontId="12" fillId="6" borderId="57" xfId="0" applyNumberFormat="1" applyFont="1" applyFill="1" applyBorder="1"/>
    <xf numFmtId="3" fontId="12" fillId="6" borderId="56" xfId="0" applyNumberFormat="1" applyFont="1" applyFill="1" applyBorder="1"/>
    <xf numFmtId="166" fontId="10" fillId="5" borderId="16" xfId="0" applyNumberFormat="1" applyFont="1" applyFill="1" applyBorder="1" applyAlignment="1">
      <alignment horizontal="center"/>
    </xf>
    <xf numFmtId="3" fontId="12" fillId="6" borderId="34" xfId="0" applyNumberFormat="1" applyFont="1" applyFill="1" applyBorder="1"/>
    <xf numFmtId="166" fontId="10" fillId="5" borderId="14" xfId="0" applyNumberFormat="1" applyFont="1" applyFill="1" applyBorder="1" applyAlignment="1">
      <alignment horizontal="center"/>
    </xf>
    <xf numFmtId="0" fontId="7" fillId="0" borderId="5" xfId="0" applyFont="1" applyFill="1" applyBorder="1"/>
    <xf numFmtId="0" fontId="7" fillId="0" borderId="6" xfId="0" applyFont="1" applyFill="1" applyBorder="1"/>
    <xf numFmtId="4" fontId="7" fillId="0" borderId="6" xfId="0" applyNumberFormat="1" applyFont="1" applyFill="1" applyBorder="1"/>
    <xf numFmtId="164" fontId="7" fillId="0" borderId="6" xfId="0" applyNumberFormat="1" applyFont="1" applyFill="1" applyBorder="1"/>
    <xf numFmtId="14" fontId="7" fillId="0" borderId="6" xfId="0" applyNumberFormat="1" applyFont="1" applyFill="1" applyBorder="1"/>
    <xf numFmtId="3" fontId="12" fillId="6" borderId="5" xfId="0" applyNumberFormat="1" applyFont="1" applyFill="1" applyBorder="1"/>
    <xf numFmtId="3" fontId="12" fillId="6" borderId="7" xfId="0" applyNumberFormat="1" applyFont="1" applyFill="1" applyBorder="1"/>
    <xf numFmtId="14" fontId="2" fillId="4" borderId="27" xfId="1" applyNumberFormat="1" applyFont="1" applyFill="1" applyBorder="1"/>
    <xf numFmtId="0" fontId="3" fillId="3" borderId="25" xfId="0" applyFont="1" applyFill="1" applyBorder="1"/>
    <xf numFmtId="164" fontId="3" fillId="3" borderId="26" xfId="0" applyNumberFormat="1" applyFont="1" applyFill="1" applyBorder="1"/>
    <xf numFmtId="0" fontId="0" fillId="0" borderId="0" xfId="0"/>
    <xf numFmtId="43" fontId="7" fillId="0" borderId="0" xfId="1" applyFont="1" applyFill="1"/>
    <xf numFmtId="0" fontId="6" fillId="4" borderId="10" xfId="0" applyFont="1" applyFill="1" applyBorder="1"/>
    <xf numFmtId="0" fontId="2" fillId="4" borderId="10" xfId="0" applyFont="1" applyFill="1" applyBorder="1"/>
    <xf numFmtId="0" fontId="6" fillId="4" borderId="11" xfId="0" applyFont="1" applyFill="1" applyBorder="1"/>
    <xf numFmtId="14" fontId="6" fillId="4" borderId="12" xfId="0" applyNumberFormat="1" applyFont="1" applyFill="1" applyBorder="1"/>
    <xf numFmtId="0" fontId="6" fillId="4" borderId="12" xfId="0" applyFont="1" applyFill="1" applyBorder="1"/>
    <xf numFmtId="4" fontId="6" fillId="4" borderId="12" xfId="0" applyNumberFormat="1" applyFont="1" applyFill="1" applyBorder="1"/>
    <xf numFmtId="164" fontId="6" fillId="4" borderId="12" xfId="0" applyNumberFormat="1" applyFont="1" applyFill="1" applyBorder="1"/>
    <xf numFmtId="14" fontId="6" fillId="4" borderId="13" xfId="0" applyNumberFormat="1" applyFont="1" applyFill="1" applyBorder="1"/>
    <xf numFmtId="0" fontId="2" fillId="4" borderId="11" xfId="0" applyFont="1" applyFill="1" applyBorder="1"/>
    <xf numFmtId="14" fontId="2" fillId="4" borderId="12" xfId="0" applyNumberFormat="1" applyFont="1" applyFill="1" applyBorder="1"/>
    <xf numFmtId="0" fontId="2" fillId="4" borderId="12" xfId="0" applyFont="1" applyFill="1" applyBorder="1"/>
    <xf numFmtId="4" fontId="2" fillId="4" borderId="12" xfId="0" applyNumberFormat="1" applyFont="1" applyFill="1" applyBorder="1"/>
    <xf numFmtId="164" fontId="2" fillId="4" borderId="12" xfId="0" applyNumberFormat="1" applyFont="1" applyFill="1" applyBorder="1"/>
    <xf numFmtId="14" fontId="2" fillId="4" borderId="13" xfId="0" applyNumberFormat="1" applyFont="1" applyFill="1" applyBorder="1"/>
    <xf numFmtId="164" fontId="6" fillId="4" borderId="11" xfId="0" applyNumberFormat="1" applyFont="1" applyFill="1" applyBorder="1"/>
    <xf numFmtId="164" fontId="2" fillId="4" borderId="11" xfId="0" applyNumberFormat="1" applyFont="1" applyFill="1" applyBorder="1"/>
    <xf numFmtId="0" fontId="6" fillId="4" borderId="13" xfId="0" applyFont="1" applyFill="1" applyBorder="1"/>
    <xf numFmtId="4" fontId="2" fillId="4" borderId="11" xfId="0" applyNumberFormat="1" applyFont="1" applyFill="1" applyBorder="1"/>
    <xf numFmtId="0" fontId="2" fillId="4" borderId="13" xfId="0" applyFont="1" applyFill="1" applyBorder="1"/>
    <xf numFmtId="4" fontId="6" fillId="4" borderId="10" xfId="0" applyNumberFormat="1" applyFont="1" applyFill="1" applyBorder="1"/>
    <xf numFmtId="4" fontId="2" fillId="4" borderId="10" xfId="0" applyNumberFormat="1" applyFont="1" applyFill="1" applyBorder="1"/>
    <xf numFmtId="4" fontId="6" fillId="0" borderId="10" xfId="0" applyNumberFormat="1" applyFont="1" applyFill="1" applyBorder="1"/>
    <xf numFmtId="4" fontId="6" fillId="0" borderId="14" xfId="0" applyNumberFormat="1" applyFont="1" applyFill="1" applyBorder="1"/>
    <xf numFmtId="14" fontId="7" fillId="0" borderId="20" xfId="0" applyNumberFormat="1" applyFont="1" applyFill="1" applyBorder="1"/>
    <xf numFmtId="14" fontId="7" fillId="0" borderId="16" xfId="0" applyNumberFormat="1" applyFont="1" applyFill="1" applyBorder="1"/>
    <xf numFmtId="14" fontId="7" fillId="0" borderId="17" xfId="0" applyNumberFormat="1" applyFont="1" applyFill="1" applyBorder="1" applyAlignment="1">
      <alignment horizontal="right"/>
    </xf>
    <xf numFmtId="0" fontId="2" fillId="0" borderId="10" xfId="0" applyFont="1" applyFill="1" applyBorder="1"/>
    <xf numFmtId="3" fontId="26" fillId="0" borderId="11" xfId="0" applyNumberFormat="1" applyFont="1" applyFill="1" applyBorder="1"/>
    <xf numFmtId="3" fontId="26" fillId="0" borderId="42" xfId="0" applyNumberFormat="1" applyFont="1" applyFill="1" applyBorder="1" applyAlignment="1">
      <alignment horizontal="right" indent="1"/>
    </xf>
    <xf numFmtId="0" fontId="6" fillId="0" borderId="10" xfId="0" applyFont="1" applyBorder="1" applyAlignment="1">
      <alignment horizontal="left" indent="1"/>
    </xf>
    <xf numFmtId="3" fontId="6" fillId="0" borderId="12" xfId="0" applyNumberFormat="1" applyFont="1" applyBorder="1" applyAlignment="1">
      <alignment horizontal="right" indent="1"/>
    </xf>
    <xf numFmtId="3" fontId="6" fillId="0" borderId="42" xfId="0" applyNumberFormat="1" applyFont="1" applyBorder="1" applyAlignment="1">
      <alignment horizontal="right" indent="1"/>
    </xf>
    <xf numFmtId="3" fontId="6" fillId="0" borderId="13" xfId="0" applyNumberFormat="1" applyFont="1" applyBorder="1" applyAlignment="1">
      <alignment horizontal="right" indent="1"/>
    </xf>
    <xf numFmtId="3" fontId="6" fillId="0" borderId="43" xfId="0" applyNumberFormat="1" applyFont="1" applyBorder="1" applyAlignment="1">
      <alignment horizontal="right" indent="1"/>
    </xf>
    <xf numFmtId="3" fontId="27" fillId="0" borderId="12" xfId="0" applyNumberFormat="1" applyFont="1" applyBorder="1" applyAlignment="1">
      <alignment horizontal="right" indent="1"/>
    </xf>
    <xf numFmtId="3" fontId="26" fillId="0" borderId="12" xfId="0" applyNumberFormat="1" applyFont="1" applyBorder="1" applyAlignment="1">
      <alignment horizontal="right" indent="1"/>
    </xf>
    <xf numFmtId="0" fontId="6" fillId="0" borderId="25" xfId="0" applyFont="1" applyBorder="1"/>
    <xf numFmtId="14" fontId="6" fillId="0" borderId="26" xfId="0" applyNumberFormat="1" applyFont="1" applyBorder="1"/>
    <xf numFmtId="0" fontId="6" fillId="0" borderId="26" xfId="0" applyFont="1" applyBorder="1"/>
    <xf numFmtId="4" fontId="6" fillId="0" borderId="26" xfId="0" applyNumberFormat="1" applyFont="1" applyBorder="1"/>
    <xf numFmtId="14" fontId="6" fillId="0" borderId="27" xfId="0" applyNumberFormat="1" applyFont="1" applyBorder="1"/>
    <xf numFmtId="164" fontId="6" fillId="0" borderId="25" xfId="0" applyNumberFormat="1" applyFont="1" applyBorder="1"/>
    <xf numFmtId="0" fontId="6" fillId="0" borderId="27" xfId="0" applyFont="1" applyBorder="1"/>
    <xf numFmtId="4" fontId="6" fillId="0" borderId="0" xfId="0" applyNumberFormat="1" applyFont="1" applyBorder="1"/>
    <xf numFmtId="4" fontId="2" fillId="0" borderId="0" xfId="0" applyNumberFormat="1" applyFont="1" applyFill="1"/>
    <xf numFmtId="9" fontId="2" fillId="0" borderId="0" xfId="0" applyNumberFormat="1" applyFont="1" applyFill="1"/>
    <xf numFmtId="164" fontId="2" fillId="0" borderId="0" xfId="0" applyNumberFormat="1" applyFont="1" applyFill="1"/>
    <xf numFmtId="0" fontId="2" fillId="0" borderId="19" xfId="0" applyFont="1" applyFill="1" applyBorder="1"/>
    <xf numFmtId="0" fontId="2" fillId="0" borderId="11" xfId="0" applyFont="1" applyFill="1" applyBorder="1"/>
    <xf numFmtId="0" fontId="2" fillId="0" borderId="21" xfId="0" applyFont="1" applyFill="1" applyBorder="1"/>
    <xf numFmtId="0" fontId="2" fillId="0" borderId="13" xfId="0" applyFont="1" applyFill="1" applyBorder="1"/>
    <xf numFmtId="0" fontId="7" fillId="0" borderId="20" xfId="0" applyFont="1" applyBorder="1" applyAlignment="1">
      <alignment horizontal="center"/>
    </xf>
    <xf numFmtId="164" fontId="7" fillId="0" borderId="20" xfId="0" applyNumberFormat="1" applyFont="1" applyBorder="1"/>
    <xf numFmtId="164" fontId="7" fillId="0" borderId="21" xfId="0" applyNumberFormat="1" applyFont="1" applyBorder="1"/>
    <xf numFmtId="0" fontId="7" fillId="0" borderId="12" xfId="0" applyFont="1" applyBorder="1" applyAlignment="1">
      <alignment horizontal="center"/>
    </xf>
    <xf numFmtId="164" fontId="7" fillId="0" borderId="12" xfId="0" applyNumberFormat="1" applyFont="1" applyBorder="1"/>
    <xf numFmtId="164" fontId="7" fillId="0" borderId="13" xfId="0" applyNumberFormat="1" applyFont="1" applyBorder="1"/>
    <xf numFmtId="164" fontId="4" fillId="0" borderId="12" xfId="0" applyNumberFormat="1" applyFont="1" applyBorder="1"/>
    <xf numFmtId="164" fontId="4" fillId="0" borderId="13" xfId="0" applyNumberFormat="1" applyFont="1" applyBorder="1"/>
    <xf numFmtId="164" fontId="4" fillId="0" borderId="17" xfId="0" applyNumberFormat="1" applyFont="1" applyBorder="1"/>
    <xf numFmtId="164" fontId="7" fillId="0" borderId="61" xfId="0" applyNumberFormat="1" applyFont="1" applyFill="1" applyBorder="1"/>
    <xf numFmtId="0" fontId="4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2" borderId="28" xfId="0" applyFont="1" applyFill="1" applyBorder="1" applyAlignment="1">
      <alignment horizontal="center"/>
    </xf>
    <xf numFmtId="165" fontId="4" fillId="2" borderId="28" xfId="0" applyNumberFormat="1" applyFont="1" applyFill="1" applyBorder="1" applyAlignment="1">
      <alignment horizontal="center"/>
    </xf>
    <xf numFmtId="4" fontId="5" fillId="0" borderId="6" xfId="0" applyNumberFormat="1" applyFont="1" applyFill="1" applyBorder="1"/>
    <xf numFmtId="0" fontId="3" fillId="3" borderId="26" xfId="0" applyFont="1" applyFill="1" applyBorder="1"/>
    <xf numFmtId="14" fontId="3" fillId="3" borderId="26" xfId="0" applyNumberFormat="1" applyFont="1" applyFill="1" applyBorder="1"/>
    <xf numFmtId="14" fontId="3" fillId="3" borderId="27" xfId="0" applyNumberFormat="1" applyFont="1" applyFill="1" applyBorder="1" applyAlignment="1">
      <alignment horizontal="right"/>
    </xf>
    <xf numFmtId="14" fontId="7" fillId="0" borderId="27" xfId="0" applyNumberFormat="1" applyFont="1" applyFill="1" applyBorder="1" applyAlignment="1">
      <alignment horizontal="right"/>
    </xf>
    <xf numFmtId="14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3" fontId="4" fillId="0" borderId="0" xfId="0" applyNumberFormat="1" applyFont="1" applyAlignment="1">
      <alignment horizontal="right"/>
    </xf>
    <xf numFmtId="0" fontId="12" fillId="8" borderId="6" xfId="0" applyFont="1" applyFill="1" applyBorder="1" applyAlignment="1">
      <alignment horizontal="right"/>
    </xf>
    <xf numFmtId="3" fontId="12" fillId="8" borderId="6" xfId="0" applyNumberFormat="1" applyFont="1" applyFill="1" applyBorder="1" applyAlignment="1">
      <alignment horizontal="center"/>
    </xf>
    <xf numFmtId="14" fontId="12" fillId="8" borderId="6" xfId="0" applyNumberFormat="1" applyFont="1" applyFill="1" applyBorder="1" applyAlignment="1">
      <alignment horizontal="center"/>
    </xf>
    <xf numFmtId="14" fontId="12" fillId="8" borderId="7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4" borderId="15" xfId="0" applyFont="1" applyFill="1" applyBorder="1"/>
    <xf numFmtId="3" fontId="2" fillId="4" borderId="44" xfId="0" applyNumberFormat="1" applyFont="1" applyFill="1" applyBorder="1"/>
    <xf numFmtId="14" fontId="7" fillId="4" borderId="14" xfId="0" applyNumberFormat="1" applyFont="1" applyFill="1" applyBorder="1" applyAlignment="1">
      <alignment horizontal="center"/>
    </xf>
    <xf numFmtId="3" fontId="7" fillId="4" borderId="54" xfId="0" applyNumberFormat="1" applyFont="1" applyFill="1" applyBorder="1" applyAlignment="1">
      <alignment horizontal="right"/>
    </xf>
    <xf numFmtId="3" fontId="7" fillId="4" borderId="13" xfId="0" applyNumberFormat="1" applyFont="1" applyFill="1" applyBorder="1" applyAlignment="1">
      <alignment horizontal="right"/>
    </xf>
    <xf numFmtId="3" fontId="2" fillId="4" borderId="17" xfId="0" applyNumberFormat="1" applyFont="1" applyFill="1" applyBorder="1"/>
    <xf numFmtId="0" fontId="2" fillId="4" borderId="15" xfId="0" applyFont="1" applyFill="1" applyBorder="1" applyAlignment="1">
      <alignment horizontal="center"/>
    </xf>
    <xf numFmtId="0" fontId="2" fillId="4" borderId="17" xfId="0" applyFont="1" applyFill="1" applyBorder="1" applyAlignment="1">
      <alignment horizontal="center"/>
    </xf>
    <xf numFmtId="3" fontId="6" fillId="9" borderId="5" xfId="0" applyNumberFormat="1" applyFont="1" applyFill="1" applyBorder="1" applyAlignment="1">
      <alignment horizontal="right"/>
    </xf>
    <xf numFmtId="14" fontId="2" fillId="9" borderId="5" xfId="0" applyNumberFormat="1" applyFont="1" applyFill="1" applyBorder="1" applyAlignment="1">
      <alignment horizontal="right"/>
    </xf>
    <xf numFmtId="14" fontId="2" fillId="9" borderId="7" xfId="0" applyNumberFormat="1" applyFont="1" applyFill="1" applyBorder="1" applyAlignment="1">
      <alignment horizontal="right"/>
    </xf>
    <xf numFmtId="0" fontId="2" fillId="0" borderId="0" xfId="0" applyFont="1" applyFill="1" applyBorder="1"/>
    <xf numFmtId="3" fontId="2" fillId="0" borderId="0" xfId="0" applyNumberFormat="1" applyFont="1" applyFill="1" applyBorder="1"/>
    <xf numFmtId="0" fontId="2" fillId="0" borderId="0" xfId="0" applyFont="1" applyFill="1" applyBorder="1" applyAlignment="1">
      <alignment horizontal="right"/>
    </xf>
    <xf numFmtId="3" fontId="32" fillId="0" borderId="52" xfId="0" applyNumberFormat="1" applyFont="1" applyFill="1" applyBorder="1" applyAlignment="1">
      <alignment horizontal="right"/>
    </xf>
    <xf numFmtId="0" fontId="32" fillId="0" borderId="33" xfId="0" applyFont="1" applyFill="1" applyBorder="1"/>
    <xf numFmtId="0" fontId="32" fillId="0" borderId="0" xfId="0" applyFont="1" applyFill="1" applyBorder="1"/>
    <xf numFmtId="3" fontId="2" fillId="0" borderId="0" xfId="0" applyNumberFormat="1" applyFont="1" applyAlignment="1">
      <alignment horizontal="right"/>
    </xf>
    <xf numFmtId="0" fontId="2" fillId="0" borderId="0" xfId="0" applyFont="1" applyFill="1" applyAlignment="1">
      <alignment horizontal="right"/>
    </xf>
    <xf numFmtId="0" fontId="2" fillId="4" borderId="19" xfId="0" applyFont="1" applyFill="1" applyBorder="1"/>
    <xf numFmtId="3" fontId="2" fillId="4" borderId="21" xfId="0" applyNumberFormat="1" applyFont="1" applyFill="1" applyBorder="1"/>
    <xf numFmtId="14" fontId="2" fillId="4" borderId="19" xfId="0" applyNumberFormat="1" applyFont="1" applyFill="1" applyBorder="1" applyAlignment="1">
      <alignment horizontal="right"/>
    </xf>
    <xf numFmtId="3" fontId="7" fillId="4" borderId="20" xfId="0" applyNumberFormat="1" applyFont="1" applyFill="1" applyBorder="1" applyAlignment="1">
      <alignment horizontal="right"/>
    </xf>
    <xf numFmtId="3" fontId="7" fillId="4" borderId="19" xfId="0" applyNumberFormat="1" applyFont="1" applyFill="1" applyBorder="1" applyAlignment="1">
      <alignment horizontal="right"/>
    </xf>
    <xf numFmtId="0" fontId="2" fillId="4" borderId="21" xfId="0" applyFont="1" applyFill="1" applyBorder="1"/>
    <xf numFmtId="14" fontId="2" fillId="4" borderId="15" xfId="0" applyNumberFormat="1" applyFont="1" applyFill="1" applyBorder="1" applyAlignment="1">
      <alignment horizontal="right"/>
    </xf>
    <xf numFmtId="3" fontId="7" fillId="4" borderId="16" xfId="0" applyNumberFormat="1" applyFont="1" applyFill="1" applyBorder="1" applyAlignment="1">
      <alignment horizontal="right"/>
    </xf>
    <xf numFmtId="3" fontId="7" fillId="4" borderId="15" xfId="0" applyNumberFormat="1" applyFont="1" applyFill="1" applyBorder="1" applyAlignment="1">
      <alignment horizontal="right"/>
    </xf>
    <xf numFmtId="3" fontId="7" fillId="4" borderId="17" xfId="0" applyNumberFormat="1" applyFont="1" applyFill="1" applyBorder="1" applyAlignment="1">
      <alignment horizontal="right"/>
    </xf>
    <xf numFmtId="3" fontId="6" fillId="9" borderId="52" xfId="0" applyNumberFormat="1" applyFont="1" applyFill="1" applyBorder="1" applyAlignment="1">
      <alignment horizontal="right"/>
    </xf>
    <xf numFmtId="3" fontId="6" fillId="9" borderId="46" xfId="0" applyNumberFormat="1" applyFont="1" applyFill="1" applyBorder="1" applyAlignment="1">
      <alignment horizontal="right"/>
    </xf>
    <xf numFmtId="3" fontId="4" fillId="9" borderId="5" xfId="0" applyNumberFormat="1" applyFont="1" applyFill="1" applyBorder="1" applyAlignment="1">
      <alignment horizontal="right"/>
    </xf>
    <xf numFmtId="14" fontId="2" fillId="9" borderId="6" xfId="0" applyNumberFormat="1" applyFont="1" applyFill="1" applyBorder="1" applyAlignment="1">
      <alignment horizontal="right"/>
    </xf>
    <xf numFmtId="3" fontId="2" fillId="0" borderId="53" xfId="0" applyNumberFormat="1" applyFont="1" applyFill="1" applyBorder="1"/>
    <xf numFmtId="14" fontId="7" fillId="0" borderId="19" xfId="0" applyNumberFormat="1" applyFont="1" applyFill="1" applyBorder="1" applyAlignment="1">
      <alignment horizontal="right"/>
    </xf>
    <xf numFmtId="3" fontId="7" fillId="0" borderId="20" xfId="0" applyNumberFormat="1" applyFont="1" applyFill="1" applyBorder="1" applyAlignment="1">
      <alignment horizontal="right"/>
    </xf>
    <xf numFmtId="3" fontId="2" fillId="0" borderId="21" xfId="0" applyNumberFormat="1" applyFont="1" applyFill="1" applyBorder="1"/>
    <xf numFmtId="0" fontId="2" fillId="0" borderId="51" xfId="0" applyFont="1" applyFill="1" applyBorder="1"/>
    <xf numFmtId="164" fontId="2" fillId="0" borderId="0" xfId="0" applyNumberFormat="1" applyFont="1" applyAlignment="1">
      <alignment horizontal="right"/>
    </xf>
    <xf numFmtId="0" fontId="2" fillId="0" borderId="0" xfId="0" applyNumberFormat="1" applyFont="1"/>
    <xf numFmtId="3" fontId="2" fillId="0" borderId="42" xfId="0" applyNumberFormat="1" applyFont="1" applyFill="1" applyBorder="1"/>
    <xf numFmtId="14" fontId="7" fillId="0" borderId="11" xfId="0" applyNumberFormat="1" applyFont="1" applyFill="1" applyBorder="1" applyAlignment="1">
      <alignment horizontal="right"/>
    </xf>
    <xf numFmtId="3" fontId="7" fillId="0" borderId="12" xfId="0" applyNumberFormat="1" applyFont="1" applyFill="1" applyBorder="1" applyAlignment="1">
      <alignment horizontal="right"/>
    </xf>
    <xf numFmtId="3" fontId="2" fillId="0" borderId="13" xfId="0" applyNumberFormat="1" applyFont="1" applyFill="1" applyBorder="1"/>
    <xf numFmtId="0" fontId="2" fillId="0" borderId="54" xfId="0" applyFont="1" applyFill="1" applyBorder="1"/>
    <xf numFmtId="14" fontId="6" fillId="0" borderId="0" xfId="0" applyNumberFormat="1" applyFont="1"/>
    <xf numFmtId="0" fontId="6" fillId="0" borderId="0" xfId="0" applyNumberFormat="1" applyFont="1"/>
    <xf numFmtId="164" fontId="6" fillId="0" borderId="0" xfId="0" applyNumberFormat="1" applyFont="1"/>
    <xf numFmtId="3" fontId="2" fillId="0" borderId="58" xfId="0" applyNumberFormat="1" applyFont="1" applyFill="1" applyBorder="1"/>
    <xf numFmtId="3" fontId="7" fillId="0" borderId="26" xfId="0" applyNumberFormat="1" applyFont="1" applyFill="1" applyBorder="1" applyAlignment="1">
      <alignment horizontal="right"/>
    </xf>
    <xf numFmtId="0" fontId="2" fillId="0" borderId="59" xfId="0" applyFont="1" applyFill="1" applyBorder="1"/>
    <xf numFmtId="14" fontId="7" fillId="0" borderId="25" xfId="0" applyNumberFormat="1" applyFont="1" applyFill="1" applyBorder="1" applyAlignment="1">
      <alignment horizontal="right"/>
    </xf>
    <xf numFmtId="3" fontId="2" fillId="0" borderId="27" xfId="0" applyNumberFormat="1" applyFont="1" applyFill="1" applyBorder="1"/>
    <xf numFmtId="3" fontId="6" fillId="9" borderId="6" xfId="0" applyNumberFormat="1" applyFont="1" applyFill="1" applyBorder="1" applyAlignment="1">
      <alignment horizontal="right"/>
    </xf>
    <xf numFmtId="3" fontId="4" fillId="9" borderId="7" xfId="0" applyNumberFormat="1" applyFont="1" applyFill="1" applyBorder="1" applyAlignment="1">
      <alignment horizontal="right"/>
    </xf>
    <xf numFmtId="14" fontId="2" fillId="0" borderId="19" xfId="0" applyNumberFormat="1" applyFont="1" applyFill="1" applyBorder="1" applyAlignment="1">
      <alignment horizontal="right"/>
    </xf>
    <xf numFmtId="3" fontId="2" fillId="0" borderId="17" xfId="0" applyNumberFormat="1" applyFont="1" applyFill="1" applyBorder="1"/>
    <xf numFmtId="14" fontId="2" fillId="0" borderId="15" xfId="0" applyNumberFormat="1" applyFont="1" applyFill="1" applyBorder="1" applyAlignment="1">
      <alignment horizontal="right"/>
    </xf>
    <xf numFmtId="3" fontId="7" fillId="0" borderId="16" xfId="0" applyNumberFormat="1" applyFont="1" applyFill="1" applyBorder="1" applyAlignment="1">
      <alignment horizontal="right"/>
    </xf>
    <xf numFmtId="14" fontId="2" fillId="9" borderId="52" xfId="0" applyNumberFormat="1" applyFont="1" applyFill="1" applyBorder="1" applyAlignment="1">
      <alignment horizontal="right"/>
    </xf>
    <xf numFmtId="14" fontId="2" fillId="0" borderId="11" xfId="0" applyNumberFormat="1" applyFont="1" applyFill="1" applyBorder="1" applyAlignment="1">
      <alignment horizontal="right"/>
    </xf>
    <xf numFmtId="14" fontId="7" fillId="0" borderId="12" xfId="0" applyNumberFormat="1" applyFont="1" applyFill="1" applyBorder="1"/>
    <xf numFmtId="4" fontId="7" fillId="0" borderId="7" xfId="0" applyNumberFormat="1" applyFont="1" applyFill="1" applyBorder="1"/>
    <xf numFmtId="0" fontId="18" fillId="3" borderId="10" xfId="0" applyFont="1" applyFill="1" applyBorder="1"/>
    <xf numFmtId="3" fontId="4" fillId="3" borderId="11" xfId="0" applyNumberFormat="1" applyFont="1" applyFill="1" applyBorder="1"/>
    <xf numFmtId="3" fontId="4" fillId="3" borderId="39" xfId="0" applyNumberFormat="1" applyFont="1" applyFill="1" applyBorder="1"/>
    <xf numFmtId="3" fontId="4" fillId="3" borderId="12" xfId="0" applyNumberFormat="1" applyFont="1" applyFill="1" applyBorder="1"/>
    <xf numFmtId="3" fontId="4" fillId="3" borderId="42" xfId="0" applyNumberFormat="1" applyFont="1" applyFill="1" applyBorder="1"/>
    <xf numFmtId="3" fontId="4" fillId="3" borderId="13" xfId="0" applyNumberFormat="1" applyFont="1" applyFill="1" applyBorder="1"/>
    <xf numFmtId="3" fontId="4" fillId="3" borderId="43" xfId="0" applyNumberFormat="1" applyFont="1" applyFill="1" applyBorder="1"/>
    <xf numFmtId="0" fontId="18" fillId="0" borderId="0" xfId="0" applyFont="1"/>
    <xf numFmtId="3" fontId="18" fillId="0" borderId="0" xfId="0" applyNumberFormat="1" applyFont="1"/>
    <xf numFmtId="3" fontId="10" fillId="0" borderId="13" xfId="0" applyNumberFormat="1" applyFont="1" applyFill="1" applyBorder="1" applyAlignment="1">
      <alignment horizontal="right" indent="1"/>
    </xf>
    <xf numFmtId="167" fontId="7" fillId="0" borderId="0" xfId="0" applyNumberFormat="1" applyFont="1" applyFill="1"/>
    <xf numFmtId="179" fontId="7" fillId="0" borderId="0" xfId="0" applyNumberFormat="1" applyFont="1" applyFill="1"/>
    <xf numFmtId="0" fontId="7" fillId="0" borderId="0" xfId="0" applyFont="1" applyFill="1" applyAlignment="1">
      <alignment horizontal="center"/>
    </xf>
    <xf numFmtId="0" fontId="4" fillId="0" borderId="0" xfId="0" applyFont="1" applyFill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7" fillId="0" borderId="22" xfId="0" applyFont="1" applyFill="1" applyBorder="1"/>
    <xf numFmtId="0" fontId="7" fillId="0" borderId="22" xfId="0" applyFont="1" applyFill="1" applyBorder="1" applyAlignment="1">
      <alignment horizontal="center"/>
    </xf>
    <xf numFmtId="4" fontId="7" fillId="0" borderId="22" xfId="0" applyNumberFormat="1" applyFont="1" applyFill="1" applyBorder="1"/>
    <xf numFmtId="164" fontId="7" fillId="0" borderId="22" xfId="0" applyNumberFormat="1" applyFont="1" applyFill="1" applyBorder="1"/>
    <xf numFmtId="164" fontId="7" fillId="0" borderId="35" xfId="0" applyNumberFormat="1" applyFont="1" applyFill="1" applyBorder="1"/>
    <xf numFmtId="175" fontId="7" fillId="0" borderId="33" xfId="0" applyNumberFormat="1" applyFont="1" applyFill="1" applyBorder="1" applyAlignment="1">
      <alignment horizontal="right"/>
    </xf>
    <xf numFmtId="175" fontId="7" fillId="0" borderId="36" xfId="0" applyNumberFormat="1" applyFont="1" applyFill="1" applyBorder="1" applyAlignment="1">
      <alignment horizontal="right"/>
    </xf>
    <xf numFmtId="175" fontId="7" fillId="0" borderId="33" xfId="0" applyNumberFormat="1" applyFont="1" applyFill="1" applyBorder="1" applyAlignment="1">
      <alignment horizontal="center" vertical="center"/>
    </xf>
    <xf numFmtId="164" fontId="7" fillId="0" borderId="61" xfId="0" applyNumberFormat="1" applyFont="1" applyFill="1" applyBorder="1" applyAlignment="1">
      <alignment vertical="center"/>
    </xf>
    <xf numFmtId="175" fontId="7" fillId="0" borderId="36" xfId="0" applyNumberFormat="1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vertical="center"/>
    </xf>
    <xf numFmtId="0" fontId="7" fillId="0" borderId="22" xfId="0" applyFont="1" applyFill="1" applyBorder="1" applyAlignment="1">
      <alignment horizontal="center" vertical="center"/>
    </xf>
    <xf numFmtId="4" fontId="7" fillId="0" borderId="22" xfId="0" applyNumberFormat="1" applyFont="1" applyFill="1" applyBorder="1" applyAlignment="1">
      <alignment vertical="center"/>
    </xf>
    <xf numFmtId="164" fontId="7" fillId="0" borderId="22" xfId="0" applyNumberFormat="1" applyFont="1" applyFill="1" applyBorder="1" applyAlignment="1">
      <alignment vertical="center"/>
    </xf>
    <xf numFmtId="164" fontId="7" fillId="0" borderId="35" xfId="0" applyNumberFormat="1" applyFont="1" applyFill="1" applyBorder="1" applyAlignment="1">
      <alignment vertical="center"/>
    </xf>
    <xf numFmtId="0" fontId="4" fillId="0" borderId="32" xfId="0" applyFont="1" applyFill="1" applyBorder="1" applyAlignment="1">
      <alignment horizontal="center"/>
    </xf>
    <xf numFmtId="4" fontId="4" fillId="0" borderId="32" xfId="0" applyNumberFormat="1" applyFont="1" applyFill="1" applyBorder="1"/>
    <xf numFmtId="167" fontId="7" fillId="0" borderId="0" xfId="0" applyNumberFormat="1" applyFont="1" applyFill="1" applyBorder="1"/>
    <xf numFmtId="4" fontId="6" fillId="4" borderId="11" xfId="0" applyNumberFormat="1" applyFont="1" applyFill="1" applyBorder="1"/>
    <xf numFmtId="0" fontId="3" fillId="0" borderId="19" xfId="0" applyFont="1" applyFill="1" applyBorder="1"/>
    <xf numFmtId="0" fontId="3" fillId="0" borderId="20" xfId="0" applyFont="1" applyFill="1" applyBorder="1"/>
    <xf numFmtId="4" fontId="3" fillId="0" borderId="20" xfId="0" applyNumberFormat="1" applyFont="1" applyFill="1" applyBorder="1"/>
    <xf numFmtId="164" fontId="3" fillId="0" borderId="20" xfId="0" applyNumberFormat="1" applyFont="1" applyFill="1" applyBorder="1"/>
    <xf numFmtId="14" fontId="3" fillId="0" borderId="20" xfId="0" applyNumberFormat="1" applyFont="1" applyFill="1" applyBorder="1"/>
    <xf numFmtId="14" fontId="3" fillId="0" borderId="21" xfId="0" applyNumberFormat="1" applyFont="1" applyFill="1" applyBorder="1" applyAlignment="1">
      <alignment horizontal="right"/>
    </xf>
    <xf numFmtId="0" fontId="3" fillId="0" borderId="7" xfId="0" applyFont="1" applyFill="1" applyBorder="1"/>
    <xf numFmtId="3" fontId="2" fillId="4" borderId="42" xfId="0" applyNumberFormat="1" applyFont="1" applyFill="1" applyBorder="1"/>
    <xf numFmtId="14" fontId="7" fillId="4" borderId="11" xfId="0" applyNumberFormat="1" applyFont="1" applyFill="1" applyBorder="1" applyAlignment="1">
      <alignment horizontal="right"/>
    </xf>
    <xf numFmtId="3" fontId="7" fillId="4" borderId="12" xfId="0" applyNumberFormat="1" applyFont="1" applyFill="1" applyBorder="1" applyAlignment="1">
      <alignment horizontal="right"/>
    </xf>
    <xf numFmtId="3" fontId="2" fillId="4" borderId="13" xfId="0" applyNumberFormat="1" applyFont="1" applyFill="1" applyBorder="1"/>
    <xf numFmtId="0" fontId="2" fillId="4" borderId="54" xfId="0" applyFont="1" applyFill="1" applyBorder="1"/>
    <xf numFmtId="164" fontId="6" fillId="0" borderId="0" xfId="0" applyNumberFormat="1" applyFont="1" applyFill="1"/>
    <xf numFmtId="0" fontId="7" fillId="0" borderId="0" xfId="0" applyFont="1" applyAlignment="1">
      <alignment horizontal="center"/>
    </xf>
    <xf numFmtId="164" fontId="6" fillId="0" borderId="28" xfId="0" applyNumberFormat="1" applyFont="1" applyBorder="1"/>
    <xf numFmtId="0" fontId="2" fillId="0" borderId="36" xfId="0" applyFont="1" applyBorder="1"/>
    <xf numFmtId="0" fontId="2" fillId="0" borderId="22" xfId="0" applyFont="1" applyBorder="1"/>
    <xf numFmtId="0" fontId="2" fillId="0" borderId="35" xfId="0" applyFont="1" applyBorder="1"/>
    <xf numFmtId="3" fontId="2" fillId="4" borderId="53" xfId="0" applyNumberFormat="1" applyFont="1" applyFill="1" applyBorder="1"/>
    <xf numFmtId="14" fontId="7" fillId="4" borderId="19" xfId="0" applyNumberFormat="1" applyFont="1" applyFill="1" applyBorder="1" applyAlignment="1">
      <alignment horizontal="right"/>
    </xf>
    <xf numFmtId="0" fontId="2" fillId="4" borderId="51" xfId="0" applyFont="1" applyFill="1" applyBorder="1"/>
    <xf numFmtId="0" fontId="3" fillId="4" borderId="11" xfId="0" applyFont="1" applyFill="1" applyBorder="1"/>
    <xf numFmtId="3" fontId="3" fillId="4" borderId="42" xfId="0" applyNumberFormat="1" applyFont="1" applyFill="1" applyBorder="1"/>
    <xf numFmtId="14" fontId="3" fillId="4" borderId="11" xfId="0" applyNumberFormat="1" applyFont="1" applyFill="1" applyBorder="1" applyAlignment="1">
      <alignment horizontal="right"/>
    </xf>
    <xf numFmtId="3" fontId="3" fillId="4" borderId="12" xfId="0" applyNumberFormat="1" applyFont="1" applyFill="1" applyBorder="1" applyAlignment="1">
      <alignment horizontal="right"/>
    </xf>
    <xf numFmtId="3" fontId="3" fillId="4" borderId="13" xfId="0" applyNumberFormat="1" applyFont="1" applyFill="1" applyBorder="1"/>
    <xf numFmtId="0" fontId="3" fillId="4" borderId="54" xfId="0" applyFont="1" applyFill="1" applyBorder="1"/>
    <xf numFmtId="0" fontId="3" fillId="4" borderId="13" xfId="0" applyFont="1" applyFill="1" applyBorder="1"/>
    <xf numFmtId="3" fontId="2" fillId="4" borderId="58" xfId="0" applyNumberFormat="1" applyFont="1" applyFill="1" applyBorder="1"/>
    <xf numFmtId="3" fontId="7" fillId="4" borderId="26" xfId="0" applyNumberFormat="1" applyFont="1" applyFill="1" applyBorder="1" applyAlignment="1">
      <alignment horizontal="right"/>
    </xf>
    <xf numFmtId="0" fontId="2" fillId="4" borderId="59" xfId="0" applyFont="1" applyFill="1" applyBorder="1"/>
    <xf numFmtId="14" fontId="7" fillId="4" borderId="25" xfId="0" applyNumberFormat="1" applyFont="1" applyFill="1" applyBorder="1" applyAlignment="1">
      <alignment horizontal="right"/>
    </xf>
    <xf numFmtId="3" fontId="2" fillId="4" borderId="27" xfId="0" applyNumberFormat="1" applyFont="1" applyFill="1" applyBorder="1"/>
    <xf numFmtId="3" fontId="7" fillId="4" borderId="53" xfId="0" applyNumberFormat="1" applyFont="1" applyFill="1" applyBorder="1"/>
    <xf numFmtId="3" fontId="7" fillId="4" borderId="21" xfId="0" applyNumberFormat="1" applyFont="1" applyFill="1" applyBorder="1"/>
    <xf numFmtId="0" fontId="7" fillId="4" borderId="51" xfId="0" applyFont="1" applyFill="1" applyBorder="1"/>
    <xf numFmtId="0" fontId="7" fillId="4" borderId="21" xfId="0" applyFont="1" applyFill="1" applyBorder="1"/>
    <xf numFmtId="3" fontId="7" fillId="4" borderId="42" xfId="0" applyNumberFormat="1" applyFont="1" applyFill="1" applyBorder="1"/>
    <xf numFmtId="3" fontId="7" fillId="4" borderId="13" xfId="0" applyNumberFormat="1" applyFont="1" applyFill="1" applyBorder="1"/>
    <xf numFmtId="0" fontId="7" fillId="4" borderId="54" xfId="0" applyFont="1" applyFill="1" applyBorder="1"/>
    <xf numFmtId="3" fontId="7" fillId="4" borderId="58" xfId="0" applyNumberFormat="1" applyFont="1" applyFill="1" applyBorder="1"/>
    <xf numFmtId="0" fontId="7" fillId="4" borderId="59" xfId="0" applyFont="1" applyFill="1" applyBorder="1"/>
    <xf numFmtId="3" fontId="7" fillId="4" borderId="27" xfId="0" applyNumberFormat="1" applyFont="1" applyFill="1" applyBorder="1"/>
    <xf numFmtId="0" fontId="4" fillId="0" borderId="55" xfId="0" applyFont="1" applyFill="1" applyBorder="1" applyAlignment="1">
      <alignment horizontal="center"/>
    </xf>
    <xf numFmtId="0" fontId="4" fillId="0" borderId="56" xfId="0" applyFont="1" applyFill="1" applyBorder="1" applyAlignment="1">
      <alignment horizontal="center"/>
    </xf>
    <xf numFmtId="0" fontId="4" fillId="2" borderId="28" xfId="0" applyFont="1" applyFill="1" applyBorder="1" applyAlignment="1">
      <alignment horizontal="center"/>
    </xf>
    <xf numFmtId="165" fontId="4" fillId="2" borderId="28" xfId="0" applyNumberFormat="1" applyFont="1" applyFill="1" applyBorder="1" applyAlignment="1">
      <alignment horizontal="center"/>
    </xf>
    <xf numFmtId="0" fontId="36" fillId="0" borderId="0" xfId="0" applyFont="1"/>
    <xf numFmtId="164" fontId="36" fillId="0" borderId="0" xfId="0" applyNumberFormat="1" applyFont="1"/>
    <xf numFmtId="0" fontId="35" fillId="0" borderId="5" xfId="0" applyFont="1" applyBorder="1" applyAlignment="1">
      <alignment horizontal="center"/>
    </xf>
    <xf numFmtId="0" fontId="35" fillId="0" borderId="7" xfId="0" applyFont="1" applyBorder="1" applyAlignment="1">
      <alignment horizontal="center"/>
    </xf>
    <xf numFmtId="175" fontId="7" fillId="0" borderId="31" xfId="0" applyNumberFormat="1" applyFont="1" applyBorder="1" applyAlignment="1">
      <alignment horizontal="center" vertical="center"/>
    </xf>
    <xf numFmtId="175" fontId="7" fillId="0" borderId="32" xfId="0" applyNumberFormat="1" applyFont="1" applyBorder="1" applyAlignment="1">
      <alignment horizontal="left" vertical="center"/>
    </xf>
    <xf numFmtId="0" fontId="7" fillId="0" borderId="32" xfId="0" applyFont="1" applyBorder="1" applyAlignment="1">
      <alignment vertical="center"/>
    </xf>
    <xf numFmtId="0" fontId="7" fillId="0" borderId="32" xfId="0" applyFont="1" applyBorder="1" applyAlignment="1">
      <alignment horizontal="center" vertical="center"/>
    </xf>
    <xf numFmtId="4" fontId="7" fillId="0" borderId="32" xfId="0" applyNumberFormat="1" applyFont="1" applyBorder="1" applyAlignment="1">
      <alignment vertical="center"/>
    </xf>
    <xf numFmtId="164" fontId="7" fillId="0" borderId="32" xfId="0" applyNumberFormat="1" applyFont="1" applyBorder="1" applyAlignment="1">
      <alignment vertical="center"/>
    </xf>
    <xf numFmtId="164" fontId="7" fillId="0" borderId="60" xfId="0" applyNumberFormat="1" applyFont="1" applyBorder="1" applyAlignment="1">
      <alignment vertical="center"/>
    </xf>
    <xf numFmtId="175" fontId="7" fillId="0" borderId="33" xfId="0" applyNumberFormat="1" applyFont="1" applyBorder="1" applyAlignment="1">
      <alignment horizontal="center" vertical="center"/>
    </xf>
    <xf numFmtId="175" fontId="7" fillId="0" borderId="0" xfId="0" applyNumberFormat="1" applyFont="1" applyBorder="1" applyAlignment="1">
      <alignment horizontal="left"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4" fontId="7" fillId="0" borderId="0" xfId="0" applyNumberFormat="1" applyFont="1" applyBorder="1" applyAlignment="1">
      <alignment vertical="center"/>
    </xf>
    <xf numFmtId="164" fontId="7" fillId="0" borderId="0" xfId="0" applyNumberFormat="1" applyFont="1" applyBorder="1" applyAlignment="1">
      <alignment vertical="center"/>
    </xf>
    <xf numFmtId="164" fontId="7" fillId="0" borderId="61" xfId="0" applyNumberFormat="1" applyFont="1" applyBorder="1" applyAlignment="1">
      <alignment vertical="center"/>
    </xf>
    <xf numFmtId="0" fontId="36" fillId="0" borderId="33" xfId="0" applyFont="1" applyBorder="1"/>
    <xf numFmtId="0" fontId="36" fillId="0" borderId="0" xfId="0" applyFont="1" applyBorder="1"/>
    <xf numFmtId="164" fontId="36" fillId="0" borderId="61" xfId="0" applyNumberFormat="1" applyFont="1" applyBorder="1"/>
    <xf numFmtId="164" fontId="35" fillId="0" borderId="35" xfId="0" applyNumberFormat="1" applyFont="1" applyBorder="1"/>
    <xf numFmtId="14" fontId="3" fillId="0" borderId="27" xfId="0" applyNumberFormat="1" applyFont="1" applyFill="1" applyBorder="1" applyAlignment="1">
      <alignment horizontal="right"/>
    </xf>
    <xf numFmtId="4" fontId="2" fillId="0" borderId="0" xfId="0" applyNumberFormat="1" applyFont="1" applyFill="1" applyBorder="1"/>
    <xf numFmtId="11" fontId="6" fillId="0" borderId="28" xfId="0" applyNumberFormat="1" applyFont="1" applyBorder="1" applyAlignment="1">
      <alignment horizontal="center"/>
    </xf>
    <xf numFmtId="0" fontId="6" fillId="0" borderId="70" xfId="0" applyFont="1" applyBorder="1"/>
    <xf numFmtId="4" fontId="6" fillId="0" borderId="48" xfId="0" applyNumberFormat="1" applyFont="1" applyBorder="1"/>
    <xf numFmtId="0" fontId="6" fillId="0" borderId="68" xfId="0" applyFont="1" applyBorder="1"/>
    <xf numFmtId="4" fontId="6" fillId="0" borderId="10" xfId="0" applyNumberFormat="1" applyFont="1" applyBorder="1"/>
    <xf numFmtId="0" fontId="6" fillId="0" borderId="71" xfId="0" applyFont="1" applyBorder="1"/>
    <xf numFmtId="4" fontId="6" fillId="0" borderId="24" xfId="0" applyNumberFormat="1" applyFont="1" applyBorder="1"/>
    <xf numFmtId="4" fontId="6" fillId="0" borderId="28" xfId="0" applyNumberFormat="1" applyFont="1" applyBorder="1"/>
    <xf numFmtId="175" fontId="7" fillId="0" borderId="5" xfId="0" applyNumberFormat="1" applyFont="1" applyFill="1" applyBorder="1" applyAlignment="1">
      <alignment horizontal="right"/>
    </xf>
    <xf numFmtId="0" fontId="7" fillId="0" borderId="6" xfId="0" applyFont="1" applyFill="1" applyBorder="1" applyAlignment="1">
      <alignment horizontal="center"/>
    </xf>
    <xf numFmtId="164" fontId="7" fillId="0" borderId="7" xfId="0" applyNumberFormat="1" applyFont="1" applyFill="1" applyBorder="1"/>
    <xf numFmtId="0" fontId="39" fillId="0" borderId="0" xfId="0" applyFont="1"/>
    <xf numFmtId="0" fontId="40" fillId="6" borderId="0" xfId="6" applyFont="1" applyFill="1" applyBorder="1" applyAlignment="1">
      <alignment horizontal="center"/>
    </xf>
    <xf numFmtId="49" fontId="40" fillId="6" borderId="0" xfId="6" applyNumberFormat="1" applyFont="1" applyFill="1" applyBorder="1" applyAlignment="1">
      <alignment horizontal="center"/>
    </xf>
    <xf numFmtId="14" fontId="40" fillId="6" borderId="0" xfId="6" applyNumberFormat="1" applyFont="1" applyFill="1" applyBorder="1" applyAlignment="1">
      <alignment horizontal="center"/>
    </xf>
    <xf numFmtId="180" fontId="40" fillId="6" borderId="0" xfId="6" applyNumberFormat="1" applyFont="1" applyFill="1" applyBorder="1" applyAlignment="1">
      <alignment horizontal="right"/>
    </xf>
    <xf numFmtId="164" fontId="40" fillId="6" borderId="0" xfId="6" applyNumberFormat="1" applyFont="1" applyFill="1" applyBorder="1" applyAlignment="1">
      <alignment horizontal="center"/>
    </xf>
    <xf numFmtId="49" fontId="41" fillId="6" borderId="0" xfId="6" applyNumberFormat="1" applyFont="1" applyFill="1" applyBorder="1" applyAlignment="1">
      <alignment horizontal="center"/>
    </xf>
    <xf numFmtId="0" fontId="42" fillId="0" borderId="0" xfId="0" applyFont="1" applyBorder="1"/>
    <xf numFmtId="49" fontId="0" fillId="0" borderId="0" xfId="0" applyNumberFormat="1"/>
    <xf numFmtId="14" fontId="0" fillId="0" borderId="0" xfId="0" applyNumberFormat="1" applyBorder="1"/>
    <xf numFmtId="164" fontId="9" fillId="0" borderId="0" xfId="6" applyNumberFormat="1" applyFont="1" applyFill="1" applyBorder="1" applyAlignment="1">
      <alignment horizontal="right"/>
    </xf>
    <xf numFmtId="0" fontId="43" fillId="4" borderId="0" xfId="6" applyFont="1" applyFill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164" fontId="0" fillId="0" borderId="0" xfId="0" applyNumberFormat="1" applyFill="1" applyBorder="1"/>
    <xf numFmtId="164" fontId="0" fillId="0" borderId="0" xfId="0" applyNumberFormat="1" applyBorder="1"/>
    <xf numFmtId="49" fontId="0" fillId="0" borderId="0" xfId="0" applyNumberFormat="1" applyBorder="1"/>
    <xf numFmtId="0" fontId="36" fillId="0" borderId="0" xfId="0" applyFont="1" applyFill="1" applyBorder="1"/>
    <xf numFmtId="0" fontId="0" fillId="10" borderId="0" xfId="0" applyFill="1" applyBorder="1"/>
    <xf numFmtId="14" fontId="0" fillId="10" borderId="0" xfId="0" applyNumberFormat="1" applyFill="1" applyBorder="1"/>
    <xf numFmtId="164" fontId="9" fillId="10" borderId="0" xfId="6" applyNumberFormat="1" applyFont="1" applyFill="1" applyBorder="1" applyAlignment="1">
      <alignment horizontal="right"/>
    </xf>
    <xf numFmtId="0" fontId="0" fillId="10" borderId="0" xfId="0" applyFill="1"/>
    <xf numFmtId="49" fontId="0" fillId="10" borderId="0" xfId="0" applyNumberFormat="1" applyFill="1"/>
    <xf numFmtId="14" fontId="0" fillId="10" borderId="0" xfId="0" applyNumberFormat="1" applyFill="1"/>
    <xf numFmtId="164" fontId="0" fillId="10" borderId="0" xfId="0" applyNumberFormat="1" applyFill="1"/>
    <xf numFmtId="164" fontId="40" fillId="6" borderId="0" xfId="6" applyNumberFormat="1" applyFont="1" applyFill="1" applyBorder="1" applyAlignment="1">
      <alignment horizontal="right"/>
    </xf>
    <xf numFmtId="0" fontId="38" fillId="6" borderId="0" xfId="0" applyFont="1" applyFill="1"/>
    <xf numFmtId="0" fontId="0" fillId="4" borderId="0" xfId="0" applyFill="1"/>
    <xf numFmtId="0" fontId="38" fillId="0" borderId="0" xfId="0" applyFont="1"/>
    <xf numFmtId="0" fontId="37" fillId="0" borderId="0" xfId="0" applyFont="1"/>
    <xf numFmtId="4" fontId="5" fillId="3" borderId="26" xfId="0" applyNumberFormat="1" applyFont="1" applyFill="1" applyBorder="1"/>
    <xf numFmtId="0" fontId="3" fillId="3" borderId="5" xfId="0" applyFont="1" applyFill="1" applyBorder="1"/>
    <xf numFmtId="0" fontId="3" fillId="3" borderId="6" xfId="0" applyFont="1" applyFill="1" applyBorder="1"/>
    <xf numFmtId="4" fontId="3" fillId="3" borderId="6" xfId="0" applyNumberFormat="1" applyFont="1" applyFill="1" applyBorder="1"/>
    <xf numFmtId="164" fontId="3" fillId="3" borderId="6" xfId="0" applyNumberFormat="1" applyFont="1" applyFill="1" applyBorder="1"/>
    <xf numFmtId="14" fontId="3" fillId="3" borderId="6" xfId="0" applyNumberFormat="1" applyFont="1" applyFill="1" applyBorder="1"/>
    <xf numFmtId="14" fontId="3" fillId="3" borderId="7" xfId="0" applyNumberFormat="1" applyFont="1" applyFill="1" applyBorder="1" applyAlignment="1">
      <alignment horizontal="right"/>
    </xf>
    <xf numFmtId="164" fontId="9" fillId="3" borderId="0" xfId="6" applyNumberFormat="1" applyFont="1" applyFill="1" applyBorder="1" applyAlignment="1">
      <alignment horizontal="right"/>
    </xf>
    <xf numFmtId="3" fontId="26" fillId="3" borderId="13" xfId="0" applyNumberFormat="1" applyFont="1" applyFill="1" applyBorder="1" applyAlignment="1">
      <alignment horizontal="right" indent="1"/>
    </xf>
    <xf numFmtId="3" fontId="26" fillId="3" borderId="12" xfId="0" applyNumberFormat="1" applyFont="1" applyFill="1" applyBorder="1"/>
    <xf numFmtId="3" fontId="5" fillId="3" borderId="12" xfId="0" applyNumberFormat="1" applyFont="1" applyFill="1" applyBorder="1" applyAlignment="1">
      <alignment horizontal="right" indent="1"/>
    </xf>
    <xf numFmtId="164" fontId="35" fillId="0" borderId="5" xfId="0" applyNumberFormat="1" applyFont="1" applyBorder="1"/>
    <xf numFmtId="164" fontId="35" fillId="0" borderId="7" xfId="0" applyNumberFormat="1" applyFont="1" applyBorder="1"/>
    <xf numFmtId="2" fontId="2" fillId="0" borderId="0" xfId="0" applyNumberFormat="1" applyFont="1"/>
    <xf numFmtId="2" fontId="7" fillId="0" borderId="0" xfId="0" applyNumberFormat="1" applyFont="1" applyFill="1"/>
    <xf numFmtId="0" fontId="40" fillId="6" borderId="0" xfId="6" applyFont="1" applyFill="1" applyBorder="1" applyAlignment="1">
      <alignment horizontal="center"/>
    </xf>
    <xf numFmtId="49" fontId="37" fillId="0" borderId="0" xfId="0" applyNumberFormat="1" applyFont="1"/>
    <xf numFmtId="14" fontId="37" fillId="0" borderId="0" xfId="0" applyNumberFormat="1" applyFont="1"/>
    <xf numFmtId="164" fontId="37" fillId="0" borderId="0" xfId="0" applyNumberFormat="1" applyFont="1"/>
    <xf numFmtId="0" fontId="3" fillId="4" borderId="19" xfId="0" applyFont="1" applyFill="1" applyBorder="1"/>
    <xf numFmtId="0" fontId="3" fillId="4" borderId="20" xfId="0" applyFont="1" applyFill="1" applyBorder="1"/>
    <xf numFmtId="4" fontId="5" fillId="4" borderId="20" xfId="0" applyNumberFormat="1" applyFont="1" applyFill="1" applyBorder="1"/>
    <xf numFmtId="164" fontId="3" fillId="4" borderId="20" xfId="0" applyNumberFormat="1" applyFont="1" applyFill="1" applyBorder="1"/>
    <xf numFmtId="14" fontId="3" fillId="4" borderId="20" xfId="0" applyNumberFormat="1" applyFont="1" applyFill="1" applyBorder="1"/>
    <xf numFmtId="14" fontId="3" fillId="4" borderId="21" xfId="0" applyNumberFormat="1" applyFont="1" applyFill="1" applyBorder="1" applyAlignment="1">
      <alignment horizontal="right"/>
    </xf>
    <xf numFmtId="0" fontId="3" fillId="4" borderId="15" xfId="0" applyFont="1" applyFill="1" applyBorder="1"/>
    <xf numFmtId="0" fontId="3" fillId="4" borderId="16" xfId="0" applyFont="1" applyFill="1" applyBorder="1"/>
    <xf numFmtId="4" fontId="5" fillId="4" borderId="16" xfId="0" applyNumberFormat="1" applyFont="1" applyFill="1" applyBorder="1"/>
    <xf numFmtId="164" fontId="3" fillId="4" borderId="16" xfId="0" applyNumberFormat="1" applyFont="1" applyFill="1" applyBorder="1"/>
    <xf numFmtId="14" fontId="3" fillId="4" borderId="16" xfId="0" applyNumberFormat="1" applyFont="1" applyFill="1" applyBorder="1"/>
    <xf numFmtId="14" fontId="3" fillId="4" borderId="17" xfId="0" applyNumberFormat="1" applyFont="1" applyFill="1" applyBorder="1" applyAlignment="1">
      <alignment horizontal="right"/>
    </xf>
    <xf numFmtId="0" fontId="3" fillId="4" borderId="5" xfId="0" applyFont="1" applyFill="1" applyBorder="1"/>
    <xf numFmtId="0" fontId="3" fillId="4" borderId="6" xfId="0" applyFont="1" applyFill="1" applyBorder="1"/>
    <xf numFmtId="4" fontId="3" fillId="4" borderId="6" xfId="0" applyNumberFormat="1" applyFont="1" applyFill="1" applyBorder="1"/>
    <xf numFmtId="0" fontId="3" fillId="4" borderId="7" xfId="0" applyFont="1" applyFill="1" applyBorder="1"/>
    <xf numFmtId="0" fontId="36" fillId="0" borderId="0" xfId="0" applyFont="1" applyFill="1"/>
    <xf numFmtId="3" fontId="26" fillId="3" borderId="11" xfId="0" applyNumberFormat="1" applyFont="1" applyFill="1" applyBorder="1"/>
    <xf numFmtId="2" fontId="0" fillId="0" borderId="0" xfId="0" applyNumberFormat="1" applyBorder="1"/>
    <xf numFmtId="175" fontId="7" fillId="3" borderId="33" xfId="0" applyNumberFormat="1" applyFont="1" applyFill="1" applyBorder="1" applyAlignment="1">
      <alignment horizontal="right"/>
    </xf>
    <xf numFmtId="0" fontId="7" fillId="3" borderId="0" xfId="0" applyFont="1" applyFill="1" applyBorder="1"/>
    <xf numFmtId="0" fontId="7" fillId="3" borderId="0" xfId="0" applyFont="1" applyFill="1" applyBorder="1" applyAlignment="1">
      <alignment horizontal="center"/>
    </xf>
    <xf numFmtId="4" fontId="7" fillId="3" borderId="0" xfId="0" applyNumberFormat="1" applyFont="1" applyFill="1" applyBorder="1"/>
    <xf numFmtId="164" fontId="7" fillId="3" borderId="0" xfId="0" applyNumberFormat="1" applyFont="1" applyFill="1" applyBorder="1"/>
    <xf numFmtId="164" fontId="7" fillId="3" borderId="61" xfId="0" applyNumberFormat="1" applyFont="1" applyFill="1" applyBorder="1"/>
    <xf numFmtId="175" fontId="7" fillId="4" borderId="31" xfId="0" applyNumberFormat="1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vertical="center"/>
    </xf>
    <xf numFmtId="0" fontId="7" fillId="4" borderId="32" xfId="0" applyFont="1" applyFill="1" applyBorder="1" applyAlignment="1">
      <alignment horizontal="center" vertical="center"/>
    </xf>
    <xf numFmtId="4" fontId="7" fillId="4" borderId="32" xfId="0" applyNumberFormat="1" applyFont="1" applyFill="1" applyBorder="1" applyAlignment="1">
      <alignment vertical="center"/>
    </xf>
    <xf numFmtId="164" fontId="7" fillId="4" borderId="32" xfId="0" applyNumberFormat="1" applyFont="1" applyFill="1" applyBorder="1" applyAlignment="1">
      <alignment vertical="center"/>
    </xf>
    <xf numFmtId="164" fontId="7" fillId="4" borderId="60" xfId="0" applyNumberFormat="1" applyFont="1" applyFill="1" applyBorder="1" applyAlignment="1">
      <alignment vertical="center"/>
    </xf>
    <xf numFmtId="175" fontId="3" fillId="0" borderId="33" xfId="0" applyNumberFormat="1" applyFont="1" applyFill="1" applyBorder="1" applyAlignment="1">
      <alignment horizontal="right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4" fontId="3" fillId="0" borderId="0" xfId="0" applyNumberFormat="1" applyFont="1" applyFill="1" applyBorder="1"/>
    <xf numFmtId="164" fontId="3" fillId="0" borderId="0" xfId="0" applyNumberFormat="1" applyFont="1" applyFill="1" applyBorder="1"/>
    <xf numFmtId="164" fontId="3" fillId="0" borderId="61" xfId="0" applyNumberFormat="1" applyFont="1" applyFill="1" applyBorder="1"/>
    <xf numFmtId="175" fontId="7" fillId="0" borderId="0" xfId="0" applyNumberFormat="1" applyFont="1" applyFill="1" applyBorder="1" applyAlignment="1">
      <alignment horizontal="right"/>
    </xf>
    <xf numFmtId="175" fontId="7" fillId="0" borderId="2" xfId="0" applyNumberFormat="1" applyFont="1" applyFill="1" applyBorder="1" applyAlignment="1">
      <alignment horizontal="right"/>
    </xf>
    <xf numFmtId="0" fontId="7" fillId="0" borderId="3" xfId="0" applyFont="1" applyFill="1" applyBorder="1"/>
    <xf numFmtId="0" fontId="7" fillId="0" borderId="3" xfId="0" applyFont="1" applyFill="1" applyBorder="1" applyAlignment="1">
      <alignment horizontal="center"/>
    </xf>
    <xf numFmtId="4" fontId="7" fillId="0" borderId="3" xfId="0" applyNumberFormat="1" applyFont="1" applyFill="1" applyBorder="1"/>
    <xf numFmtId="164" fontId="7" fillId="0" borderId="3" xfId="0" applyNumberFormat="1" applyFont="1" applyFill="1" applyBorder="1"/>
    <xf numFmtId="164" fontId="7" fillId="0" borderId="47" xfId="0" applyNumberFormat="1" applyFont="1" applyFill="1" applyBorder="1"/>
    <xf numFmtId="175" fontId="7" fillId="0" borderId="31" xfId="0" applyNumberFormat="1" applyFont="1" applyFill="1" applyBorder="1" applyAlignment="1">
      <alignment horizontal="right"/>
    </xf>
    <xf numFmtId="0" fontId="7" fillId="0" borderId="32" xfId="0" applyFont="1" applyFill="1" applyBorder="1"/>
    <xf numFmtId="0" fontId="7" fillId="0" borderId="32" xfId="0" applyFont="1" applyFill="1" applyBorder="1" applyAlignment="1">
      <alignment horizontal="center"/>
    </xf>
    <xf numFmtId="4" fontId="7" fillId="0" borderId="32" xfId="0" applyNumberFormat="1" applyFont="1" applyFill="1" applyBorder="1"/>
    <xf numFmtId="164" fontId="7" fillId="0" borderId="32" xfId="0" applyNumberFormat="1" applyFont="1" applyFill="1" applyBorder="1"/>
    <xf numFmtId="164" fontId="7" fillId="0" borderId="60" xfId="0" applyNumberFormat="1" applyFont="1" applyFill="1" applyBorder="1"/>
    <xf numFmtId="3" fontId="10" fillId="5" borderId="5" xfId="0" applyNumberFormat="1" applyFont="1" applyFill="1" applyBorder="1" applyAlignment="1">
      <alignment horizontal="center"/>
    </xf>
    <xf numFmtId="3" fontId="10" fillId="5" borderId="3" xfId="0" applyNumberFormat="1" applyFont="1" applyFill="1" applyBorder="1" applyAlignment="1">
      <alignment horizontal="center"/>
    </xf>
    <xf numFmtId="3" fontId="10" fillId="5" borderId="6" xfId="0" applyNumberFormat="1" applyFont="1" applyFill="1" applyBorder="1" applyAlignment="1">
      <alignment horizontal="center"/>
    </xf>
    <xf numFmtId="3" fontId="10" fillId="5" borderId="46" xfId="0" applyNumberFormat="1" applyFont="1" applyFill="1" applyBorder="1" applyAlignment="1">
      <alignment horizontal="center"/>
    </xf>
    <xf numFmtId="3" fontId="10" fillId="5" borderId="7" xfId="0" applyNumberFormat="1" applyFont="1" applyFill="1" applyBorder="1" applyAlignment="1">
      <alignment horizontal="center"/>
    </xf>
    <xf numFmtId="3" fontId="10" fillId="5" borderId="2" xfId="0" applyNumberFormat="1" applyFont="1" applyFill="1" applyBorder="1" applyAlignment="1">
      <alignment horizontal="center"/>
    </xf>
    <xf numFmtId="3" fontId="10" fillId="5" borderId="47" xfId="0" applyNumberFormat="1" applyFont="1" applyFill="1" applyBorder="1" applyAlignment="1">
      <alignment horizontal="center"/>
    </xf>
    <xf numFmtId="0" fontId="4" fillId="0" borderId="55" xfId="0" applyFont="1" applyFill="1" applyBorder="1" applyAlignment="1">
      <alignment horizontal="center"/>
    </xf>
    <xf numFmtId="0" fontId="4" fillId="0" borderId="56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7" fillId="0" borderId="29" xfId="0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41" xfId="0" applyFont="1" applyFill="1" applyBorder="1" applyAlignment="1">
      <alignment horizontal="left" vertical="center"/>
    </xf>
    <xf numFmtId="4" fontId="7" fillId="0" borderId="23" xfId="0" applyNumberFormat="1" applyFont="1" applyFill="1" applyBorder="1" applyAlignment="1">
      <alignment horizontal="right" vertical="center"/>
    </xf>
    <xf numFmtId="4" fontId="7" fillId="0" borderId="63" xfId="0" applyNumberFormat="1" applyFont="1" applyFill="1" applyBorder="1" applyAlignment="1">
      <alignment horizontal="right" vertical="center"/>
    </xf>
    <xf numFmtId="4" fontId="7" fillId="0" borderId="41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32" fillId="0" borderId="2" xfId="0" applyFont="1" applyFill="1" applyBorder="1" applyAlignment="1">
      <alignment horizontal="center"/>
    </xf>
    <xf numFmtId="0" fontId="32" fillId="0" borderId="3" xfId="0" applyFont="1" applyFill="1" applyBorder="1" applyAlignment="1">
      <alignment horizontal="center"/>
    </xf>
    <xf numFmtId="0" fontId="32" fillId="0" borderId="47" xfId="0" applyFont="1" applyFill="1" applyBorder="1" applyAlignment="1">
      <alignment horizontal="center"/>
    </xf>
    <xf numFmtId="0" fontId="12" fillId="8" borderId="5" xfId="0" applyFont="1" applyFill="1" applyBorder="1" applyAlignment="1">
      <alignment horizontal="center"/>
    </xf>
    <xf numFmtId="0" fontId="12" fillId="8" borderId="6" xfId="0" applyFont="1" applyFill="1" applyBorder="1" applyAlignment="1">
      <alignment horizontal="center"/>
    </xf>
    <xf numFmtId="0" fontId="32" fillId="9" borderId="5" xfId="0" applyFont="1" applyFill="1" applyBorder="1" applyAlignment="1">
      <alignment horizontal="center"/>
    </xf>
    <xf numFmtId="0" fontId="32" fillId="9" borderId="6" xfId="0" applyFont="1" applyFill="1" applyBorder="1" applyAlignment="1">
      <alignment horizontal="center"/>
    </xf>
    <xf numFmtId="0" fontId="32" fillId="9" borderId="7" xfId="0" applyFont="1" applyFill="1" applyBorder="1" applyAlignment="1">
      <alignment horizontal="center"/>
    </xf>
    <xf numFmtId="0" fontId="32" fillId="9" borderId="46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4" borderId="68" xfId="0" applyFont="1" applyFill="1" applyBorder="1" applyAlignment="1">
      <alignment horizontal="center"/>
    </xf>
    <xf numFmtId="0" fontId="3" fillId="4" borderId="43" xfId="0" applyFont="1" applyFill="1" applyBorder="1" applyAlignment="1">
      <alignment horizontal="center"/>
    </xf>
    <xf numFmtId="0" fontId="6" fillId="0" borderId="42" xfId="0" applyFont="1" applyBorder="1" applyAlignment="1">
      <alignment horizontal="center"/>
    </xf>
    <xf numFmtId="0" fontId="6" fillId="0" borderId="43" xfId="0" applyFont="1" applyBorder="1" applyAlignment="1">
      <alignment horizontal="center"/>
    </xf>
    <xf numFmtId="0" fontId="6" fillId="0" borderId="44" xfId="0" applyFont="1" applyBorder="1" applyAlignment="1">
      <alignment horizontal="center"/>
    </xf>
    <xf numFmtId="0" fontId="6" fillId="0" borderId="45" xfId="0" applyFont="1" applyBorder="1" applyAlignment="1">
      <alignment horizontal="center"/>
    </xf>
    <xf numFmtId="4" fontId="6" fillId="0" borderId="46" xfId="0" applyNumberFormat="1" applyFont="1" applyBorder="1" applyAlignment="1">
      <alignment horizontal="center"/>
    </xf>
    <xf numFmtId="4" fontId="6" fillId="0" borderId="47" xfId="0" applyNumberFormat="1" applyFont="1" applyBorder="1" applyAlignment="1">
      <alignment horizontal="center"/>
    </xf>
    <xf numFmtId="11" fontId="6" fillId="0" borderId="46" xfId="0" applyNumberFormat="1" applyFont="1" applyBorder="1" applyAlignment="1">
      <alignment horizontal="center"/>
    </xf>
    <xf numFmtId="11" fontId="6" fillId="0" borderId="47" xfId="0" applyNumberFormat="1" applyFont="1" applyBorder="1" applyAlignment="1">
      <alignment horizontal="center"/>
    </xf>
    <xf numFmtId="4" fontId="6" fillId="0" borderId="42" xfId="0" applyNumberFormat="1" applyFont="1" applyBorder="1" applyAlignment="1">
      <alignment horizontal="center"/>
    </xf>
    <xf numFmtId="4" fontId="6" fillId="0" borderId="43" xfId="0" applyNumberFormat="1" applyFont="1" applyBorder="1" applyAlignment="1">
      <alignment horizontal="center"/>
    </xf>
    <xf numFmtId="0" fontId="2" fillId="0" borderId="53" xfId="0" applyFont="1" applyBorder="1" applyAlignment="1">
      <alignment horizontal="center"/>
    </xf>
    <xf numFmtId="0" fontId="2" fillId="0" borderId="62" xfId="0" applyFont="1" applyBorder="1" applyAlignment="1">
      <alignment horizontal="center"/>
    </xf>
    <xf numFmtId="165" fontId="4" fillId="2" borderId="1" xfId="0" applyNumberFormat="1" applyFont="1" applyFill="1" applyBorder="1" applyAlignment="1">
      <alignment horizontal="center" vertical="center"/>
    </xf>
    <xf numFmtId="165" fontId="4" fillId="2" borderId="4" xfId="0" applyNumberFormat="1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/>
    </xf>
    <xf numFmtId="165" fontId="4" fillId="2" borderId="28" xfId="0" applyNumberFormat="1" applyFont="1" applyFill="1" applyBorder="1" applyAlignment="1">
      <alignment horizontal="center"/>
    </xf>
    <xf numFmtId="165" fontId="4" fillId="2" borderId="28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0" fillId="2" borderId="36" xfId="0" applyFont="1" applyFill="1" applyBorder="1" applyAlignment="1">
      <alignment horizontal="left"/>
    </xf>
    <xf numFmtId="0" fontId="20" fillId="2" borderId="22" xfId="0" applyFont="1" applyFill="1" applyBorder="1" applyAlignment="1">
      <alignment horizontal="left"/>
    </xf>
    <xf numFmtId="0" fontId="20" fillId="2" borderId="35" xfId="0" applyFont="1" applyFill="1" applyBorder="1" applyAlignment="1">
      <alignment horizontal="left"/>
    </xf>
    <xf numFmtId="175" fontId="7" fillId="0" borderId="11" xfId="0" applyNumberFormat="1" applyFont="1" applyBorder="1" applyAlignment="1">
      <alignment horizontal="left"/>
    </xf>
    <xf numFmtId="175" fontId="7" fillId="0" borderId="12" xfId="0" applyNumberFormat="1" applyFont="1" applyBorder="1" applyAlignment="1">
      <alignment horizontal="left"/>
    </xf>
    <xf numFmtId="4" fontId="7" fillId="0" borderId="42" xfId="0" applyNumberFormat="1" applyFont="1" applyBorder="1" applyAlignment="1">
      <alignment horizontal="center"/>
    </xf>
    <xf numFmtId="4" fontId="7" fillId="0" borderId="54" xfId="0" applyNumberFormat="1" applyFont="1" applyBorder="1" applyAlignment="1">
      <alignment horizontal="center"/>
    </xf>
    <xf numFmtId="175" fontId="4" fillId="0" borderId="11" xfId="0" applyNumberFormat="1" applyFont="1" applyBorder="1" applyAlignment="1">
      <alignment horizontal="center"/>
    </xf>
    <xf numFmtId="175" fontId="4" fillId="0" borderId="12" xfId="0" applyNumberFormat="1" applyFont="1" applyBorder="1" applyAlignment="1">
      <alignment horizontal="center"/>
    </xf>
    <xf numFmtId="175" fontId="4" fillId="0" borderId="31" xfId="0" applyNumberFormat="1" applyFont="1" applyBorder="1" applyAlignment="1">
      <alignment horizontal="center"/>
    </xf>
    <xf numFmtId="175" fontId="4" fillId="0" borderId="32" xfId="0" applyNumberFormat="1" applyFont="1" applyBorder="1" applyAlignment="1">
      <alignment horizontal="center"/>
    </xf>
    <xf numFmtId="175" fontId="4" fillId="0" borderId="60" xfId="0" applyNumberFormat="1" applyFont="1" applyBorder="1" applyAlignment="1">
      <alignment horizontal="center"/>
    </xf>
    <xf numFmtId="175" fontId="7" fillId="0" borderId="11" xfId="0" applyNumberFormat="1" applyFont="1" applyBorder="1" applyAlignment="1">
      <alignment horizontal="center"/>
    </xf>
    <xf numFmtId="175" fontId="7" fillId="0" borderId="12" xfId="0" applyNumberFormat="1" applyFont="1" applyBorder="1" applyAlignment="1">
      <alignment horizontal="center"/>
    </xf>
    <xf numFmtId="175" fontId="4" fillId="0" borderId="15" xfId="0" applyNumberFormat="1" applyFont="1" applyBorder="1" applyAlignment="1">
      <alignment horizontal="center"/>
    </xf>
    <xf numFmtId="175" fontId="4" fillId="0" borderId="16" xfId="0" applyNumberFormat="1" applyFont="1" applyBorder="1" applyAlignment="1">
      <alignment horizontal="center"/>
    </xf>
    <xf numFmtId="175" fontId="4" fillId="0" borderId="0" xfId="0" applyNumberFormat="1" applyFont="1" applyAlignment="1">
      <alignment horizontal="center"/>
    </xf>
    <xf numFmtId="175" fontId="7" fillId="0" borderId="19" xfId="0" applyNumberFormat="1" applyFont="1" applyBorder="1" applyAlignment="1">
      <alignment horizontal="left"/>
    </xf>
    <xf numFmtId="175" fontId="7" fillId="0" borderId="20" xfId="0" applyNumberFormat="1" applyFont="1" applyBorder="1" applyAlignment="1">
      <alignment horizontal="left"/>
    </xf>
    <xf numFmtId="4" fontId="7" fillId="0" borderId="53" xfId="0" applyNumberFormat="1" applyFont="1" applyBorder="1" applyAlignment="1">
      <alignment horizontal="center"/>
    </xf>
    <xf numFmtId="4" fontId="7" fillId="0" borderId="51" xfId="0" applyNumberFormat="1" applyFont="1" applyBorder="1" applyAlignment="1">
      <alignment horizontal="center"/>
    </xf>
    <xf numFmtId="175" fontId="7" fillId="0" borderId="68" xfId="0" applyNumberFormat="1" applyFont="1" applyBorder="1" applyAlignment="1">
      <alignment horizontal="left"/>
    </xf>
    <xf numFmtId="175" fontId="7" fillId="0" borderId="54" xfId="0" applyNumberFormat="1" applyFont="1" applyBorder="1" applyAlignment="1">
      <alignment horizontal="left"/>
    </xf>
    <xf numFmtId="0" fontId="36" fillId="0" borderId="5" xfId="0" applyFont="1" applyBorder="1" applyAlignment="1">
      <alignment horizontal="center"/>
    </xf>
    <xf numFmtId="0" fontId="36" fillId="0" borderId="6" xfId="0" applyFont="1" applyBorder="1" applyAlignment="1">
      <alignment horizontal="center"/>
    </xf>
    <xf numFmtId="0" fontId="36" fillId="0" borderId="7" xfId="0" applyFont="1" applyBorder="1" applyAlignment="1">
      <alignment horizontal="center"/>
    </xf>
    <xf numFmtId="0" fontId="35" fillId="0" borderId="36" xfId="0" applyFont="1" applyBorder="1" applyAlignment="1">
      <alignment horizontal="center"/>
    </xf>
    <xf numFmtId="0" fontId="35" fillId="0" borderId="22" xfId="0" applyFont="1" applyBorder="1" applyAlignment="1">
      <alignment horizontal="center"/>
    </xf>
    <xf numFmtId="0" fontId="40" fillId="6" borderId="0" xfId="6" applyFont="1" applyFill="1" applyBorder="1" applyAlignment="1">
      <alignment horizontal="center"/>
    </xf>
    <xf numFmtId="4" fontId="7" fillId="0" borderId="23" xfId="0" applyNumberFormat="1" applyFont="1" applyFill="1" applyBorder="1" applyAlignment="1">
      <alignment horizontal="center" vertical="center"/>
    </xf>
    <xf numFmtId="4" fontId="7" fillId="0" borderId="63" xfId="0" applyNumberFormat="1" applyFont="1" applyFill="1" applyBorder="1" applyAlignment="1">
      <alignment horizontal="center" vertical="center"/>
    </xf>
    <xf numFmtId="4" fontId="7" fillId="0" borderId="41" xfId="0" applyNumberFormat="1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7" fillId="0" borderId="47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7" xfId="0" applyFont="1" applyBorder="1" applyAlignment="1">
      <alignment horizontal="center"/>
    </xf>
    <xf numFmtId="175" fontId="4" fillId="0" borderId="0" xfId="0" applyNumberFormat="1" applyFont="1" applyBorder="1" applyAlignment="1">
      <alignment horizontal="center"/>
    </xf>
    <xf numFmtId="175" fontId="4" fillId="0" borderId="0" xfId="0" applyNumberFormat="1" applyFont="1" applyFill="1" applyBorder="1" applyAlignment="1">
      <alignment horizontal="center"/>
    </xf>
    <xf numFmtId="49" fontId="17" fillId="0" borderId="0" xfId="0" applyNumberFormat="1" applyFont="1"/>
    <xf numFmtId="164" fontId="17" fillId="0" borderId="0" xfId="0" applyNumberFormat="1" applyFont="1"/>
  </cellXfs>
  <cellStyles count="7">
    <cellStyle name="Milliers" xfId="1" builtinId="3"/>
    <cellStyle name="Milliers 2" xfId="2"/>
    <cellStyle name="Normal" xfId="0" builtinId="0"/>
    <cellStyle name="Normal 2" xfId="3"/>
    <cellStyle name="Normal_NOUR" xfId="6"/>
    <cellStyle name="Pourcentage" xfId="5" builtinId="5"/>
    <cellStyle name="Pourcentage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77"/>
  <sheetViews>
    <sheetView zoomScale="70" zoomScaleNormal="70" workbookViewId="0">
      <pane ySplit="2" topLeftCell="A3" activePane="bottomLeft" state="frozen"/>
      <selection activeCell="A2" sqref="A2:F20"/>
      <selection pane="bottomLeft" activeCell="C10" sqref="C10"/>
    </sheetView>
  </sheetViews>
  <sheetFormatPr baseColWidth="10" defaultRowHeight="15"/>
  <cols>
    <col min="1" max="1" width="26.85546875" style="32" customWidth="1"/>
    <col min="2" max="12" width="14.7109375" style="85" customWidth="1"/>
    <col min="13" max="18" width="14.7109375" style="32" customWidth="1"/>
    <col min="19" max="20" width="11.42578125" style="32"/>
    <col min="21" max="21" width="11.7109375" style="32" bestFit="1" customWidth="1"/>
    <col min="22" max="22" width="21.85546875" style="32" customWidth="1"/>
    <col min="23" max="16384" width="11.42578125" style="32"/>
  </cols>
  <sheetData>
    <row r="1" spans="1:22" s="31" customFormat="1" thickBot="1">
      <c r="B1" s="848" t="s">
        <v>104</v>
      </c>
      <c r="C1" s="849"/>
      <c r="D1" s="848" t="s">
        <v>45</v>
      </c>
      <c r="E1" s="850"/>
      <c r="F1" s="850"/>
      <c r="G1" s="850"/>
      <c r="H1" s="851"/>
      <c r="I1" s="850" t="s">
        <v>46</v>
      </c>
      <c r="J1" s="850"/>
      <c r="K1" s="850"/>
      <c r="L1" s="852"/>
      <c r="M1" s="136" t="s">
        <v>121</v>
      </c>
      <c r="N1" s="136" t="s">
        <v>124</v>
      </c>
      <c r="O1" s="136" t="s">
        <v>127</v>
      </c>
      <c r="P1" s="853" t="s">
        <v>189</v>
      </c>
      <c r="Q1" s="854"/>
      <c r="R1" s="136" t="s">
        <v>202</v>
      </c>
      <c r="S1" s="136" t="s">
        <v>203</v>
      </c>
    </row>
    <row r="2" spans="1:22" ht="15.75" thickBot="1">
      <c r="B2" s="270" t="s">
        <v>103</v>
      </c>
      <c r="C2" s="272" t="s">
        <v>102</v>
      </c>
      <c r="D2" s="270" t="s">
        <v>122</v>
      </c>
      <c r="E2" s="271" t="s">
        <v>103</v>
      </c>
      <c r="F2" s="271" t="s">
        <v>102</v>
      </c>
      <c r="G2" s="271" t="s">
        <v>164</v>
      </c>
      <c r="H2" s="272" t="s">
        <v>179</v>
      </c>
      <c r="I2" s="270" t="s">
        <v>102</v>
      </c>
      <c r="J2" s="271" t="s">
        <v>101</v>
      </c>
      <c r="K2" s="271" t="s">
        <v>164</v>
      </c>
      <c r="L2" s="272" t="s">
        <v>179</v>
      </c>
      <c r="M2" s="442" t="s">
        <v>102</v>
      </c>
      <c r="N2" s="442" t="s">
        <v>125</v>
      </c>
      <c r="O2" s="442" t="s">
        <v>125</v>
      </c>
      <c r="P2" s="270" t="s">
        <v>125</v>
      </c>
      <c r="Q2" s="272" t="s">
        <v>164</v>
      </c>
      <c r="R2" s="442" t="s">
        <v>125</v>
      </c>
      <c r="S2" s="442" t="s">
        <v>125</v>
      </c>
    </row>
    <row r="3" spans="1:22" s="34" customFormat="1" ht="15.75" thickBot="1">
      <c r="A3" s="33" t="s">
        <v>2454</v>
      </c>
      <c r="B3" s="469">
        <v>11594.144</v>
      </c>
      <c r="C3" s="470">
        <v>-35897.834999999999</v>
      </c>
      <c r="D3" s="469">
        <v>953.18700000000001</v>
      </c>
      <c r="E3" s="475">
        <v>12919.218000000001</v>
      </c>
      <c r="F3" s="475">
        <v>-2700331.2930000001</v>
      </c>
      <c r="G3" s="475">
        <v>142061.07999999999</v>
      </c>
      <c r="H3" s="470">
        <v>146.86000000000001</v>
      </c>
      <c r="I3" s="469">
        <v>-561751.98</v>
      </c>
      <c r="J3" s="475">
        <v>7139.174</v>
      </c>
      <c r="K3" s="475">
        <v>126.5</v>
      </c>
      <c r="L3" s="470">
        <v>97014.49</v>
      </c>
      <c r="M3" s="477">
        <v>252765.307</v>
      </c>
      <c r="N3" s="477">
        <v>607.69200000000001</v>
      </c>
      <c r="O3" s="477">
        <v>22812.252</v>
      </c>
      <c r="P3" s="469">
        <v>-146858.52900000001</v>
      </c>
      <c r="Q3" s="470">
        <v>27478.32</v>
      </c>
      <c r="R3" s="477">
        <v>3240.9740000000002</v>
      </c>
      <c r="S3" s="477">
        <v>-1222.1300000000001</v>
      </c>
    </row>
    <row r="4" spans="1:22" s="1" customFormat="1" ht="13.5" thickBot="1">
      <c r="A4" s="35" t="s">
        <v>49</v>
      </c>
      <c r="B4" s="468">
        <f>SUM(B5:B8)</f>
        <v>0</v>
      </c>
      <c r="C4" s="473">
        <f>SUM(C5:C8)</f>
        <v>277414.14199999999</v>
      </c>
      <c r="D4" s="468">
        <f t="shared" ref="D4:P4" si="0">SUM(D5:D8)</f>
        <v>0</v>
      </c>
      <c r="E4" s="474">
        <f>SUM(E5:E8)</f>
        <v>0</v>
      </c>
      <c r="F4" s="474">
        <f>SUM(F5:F8)</f>
        <v>262500</v>
      </c>
      <c r="G4" s="474">
        <f>SUM(G5:G8)</f>
        <v>0</v>
      </c>
      <c r="H4" s="473">
        <f>SUM(H5:H8)</f>
        <v>0</v>
      </c>
      <c r="I4" s="468">
        <f t="shared" si="0"/>
        <v>0</v>
      </c>
      <c r="J4" s="474">
        <f>SUM(J5:J8)</f>
        <v>0</v>
      </c>
      <c r="K4" s="474">
        <f t="shared" si="0"/>
        <v>0</v>
      </c>
      <c r="L4" s="473">
        <f t="shared" si="0"/>
        <v>0</v>
      </c>
      <c r="M4" s="476">
        <f t="shared" si="0"/>
        <v>0</v>
      </c>
      <c r="N4" s="476">
        <f t="shared" si="0"/>
        <v>0</v>
      </c>
      <c r="O4" s="476">
        <f t="shared" si="0"/>
        <v>0</v>
      </c>
      <c r="P4" s="483">
        <f t="shared" si="0"/>
        <v>0</v>
      </c>
      <c r="Q4" s="484">
        <f>SUM(R5:R8)</f>
        <v>0</v>
      </c>
      <c r="R4" s="476">
        <f>SUM(S5:S8)</f>
        <v>0</v>
      </c>
      <c r="S4" s="476">
        <f>SUM(T5:T8)</f>
        <v>0</v>
      </c>
    </row>
    <row r="5" spans="1:22">
      <c r="A5" s="27" t="s">
        <v>100</v>
      </c>
      <c r="B5" s="137"/>
      <c r="C5" s="138">
        <f>29766.094+90823.554+50118.75</f>
        <v>170708.39799999999</v>
      </c>
      <c r="D5" s="137"/>
      <c r="E5" s="139"/>
      <c r="F5" s="139">
        <f>200000+62500</f>
        <v>262500</v>
      </c>
      <c r="G5" s="139"/>
      <c r="H5" s="343"/>
      <c r="I5" s="439"/>
      <c r="J5" s="139"/>
      <c r="K5" s="139"/>
      <c r="L5" s="440"/>
      <c r="M5" s="441"/>
      <c r="N5" s="440"/>
      <c r="O5" s="440"/>
      <c r="P5" s="466"/>
      <c r="Q5" s="467"/>
      <c r="R5" s="441"/>
      <c r="S5" s="440"/>
    </row>
    <row r="6" spans="1:22">
      <c r="A6" s="27" t="s">
        <v>98</v>
      </c>
      <c r="B6" s="100"/>
      <c r="C6" s="132">
        <f>50700.896+56004.8479999999</f>
        <v>106705.74400000001</v>
      </c>
      <c r="D6" s="100"/>
      <c r="E6" s="123"/>
      <c r="F6" s="123"/>
      <c r="G6" s="123"/>
      <c r="H6" s="344"/>
      <c r="I6" s="348"/>
      <c r="J6" s="123"/>
      <c r="K6" s="123"/>
      <c r="L6" s="98"/>
      <c r="M6" s="355"/>
      <c r="N6" s="98"/>
      <c r="O6" s="98"/>
      <c r="P6" s="348"/>
      <c r="Q6" s="98"/>
      <c r="R6" s="355"/>
      <c r="S6" s="98"/>
    </row>
    <row r="7" spans="1:22">
      <c r="A7" s="27" t="s">
        <v>99</v>
      </c>
      <c r="B7" s="100"/>
      <c r="C7" s="132"/>
      <c r="D7" s="100"/>
      <c r="E7" s="123"/>
      <c r="F7" s="123"/>
      <c r="G7" s="123"/>
      <c r="H7" s="344"/>
      <c r="I7" s="348"/>
      <c r="J7" s="123"/>
      <c r="K7" s="123"/>
      <c r="L7" s="98"/>
      <c r="M7" s="355"/>
      <c r="N7" s="98"/>
      <c r="O7" s="98"/>
      <c r="P7" s="348"/>
      <c r="Q7" s="98"/>
      <c r="R7" s="355"/>
      <c r="S7" s="98"/>
    </row>
    <row r="8" spans="1:22">
      <c r="A8" s="27" t="s">
        <v>50</v>
      </c>
      <c r="B8" s="100"/>
      <c r="C8" s="132"/>
      <c r="D8" s="100"/>
      <c r="E8" s="123"/>
      <c r="F8" s="123"/>
      <c r="G8" s="123"/>
      <c r="H8" s="344"/>
      <c r="I8" s="348"/>
      <c r="J8" s="123"/>
      <c r="K8" s="123"/>
      <c r="L8" s="98"/>
      <c r="M8" s="355"/>
      <c r="N8" s="98"/>
      <c r="O8" s="98"/>
      <c r="P8" s="348"/>
      <c r="Q8" s="98"/>
      <c r="R8" s="355"/>
      <c r="S8" s="98"/>
    </row>
    <row r="9" spans="1:22" s="640" customFormat="1">
      <c r="A9" s="633" t="s">
        <v>51</v>
      </c>
      <c r="B9" s="634">
        <f>B10+B11+B12+B13+B14</f>
        <v>0</v>
      </c>
      <c r="C9" s="635">
        <f>C10+C11+C12+C13+C14</f>
        <v>263373</v>
      </c>
      <c r="D9" s="634">
        <f>D10+D11+D13+D14+D22+D29</f>
        <v>0</v>
      </c>
      <c r="E9" s="636">
        <f>E10+E11+E12+E13+E14</f>
        <v>0</v>
      </c>
      <c r="F9" s="636">
        <f>F14+F10+F11+F12+F13</f>
        <v>950000</v>
      </c>
      <c r="G9" s="636">
        <f>G14</f>
        <v>120110.52</v>
      </c>
      <c r="H9" s="637">
        <f>H15+H16+H17+H19+H20+H22</f>
        <v>0</v>
      </c>
      <c r="I9" s="634">
        <f>I10+I11+I13+I14+I22+I29+I26+I12</f>
        <v>260800</v>
      </c>
      <c r="J9" s="636">
        <f>J10+J11+J13+J14+J22+J29+J26</f>
        <v>0</v>
      </c>
      <c r="K9" s="636">
        <f t="shared" ref="K9:S9" si="1">K10+K11+K13+K14+K22+K29</f>
        <v>48235</v>
      </c>
      <c r="L9" s="638">
        <f t="shared" si="1"/>
        <v>0</v>
      </c>
      <c r="M9" s="639">
        <f t="shared" si="1"/>
        <v>0</v>
      </c>
      <c r="N9" s="638">
        <f t="shared" si="1"/>
        <v>0</v>
      </c>
      <c r="O9" s="638">
        <f t="shared" si="1"/>
        <v>0</v>
      </c>
      <c r="P9" s="634">
        <f t="shared" si="1"/>
        <v>0</v>
      </c>
      <c r="Q9" s="638">
        <f t="shared" si="1"/>
        <v>0</v>
      </c>
      <c r="R9" s="639">
        <f t="shared" si="1"/>
        <v>0</v>
      </c>
      <c r="S9" s="638">
        <f t="shared" si="1"/>
        <v>0</v>
      </c>
      <c r="V9" s="641"/>
    </row>
    <row r="10" spans="1:22">
      <c r="A10" s="27" t="s">
        <v>100</v>
      </c>
      <c r="B10" s="100"/>
      <c r="C10" s="132">
        <f>+CT!E254</f>
        <v>43373</v>
      </c>
      <c r="D10" s="100"/>
      <c r="E10" s="123">
        <f>B58</f>
        <v>0</v>
      </c>
      <c r="F10" s="123">
        <v>950000</v>
      </c>
      <c r="G10" s="123"/>
      <c r="H10" s="344"/>
      <c r="I10" s="382">
        <f>C56</f>
        <v>150000</v>
      </c>
      <c r="J10" s="152">
        <f>B56</f>
        <v>0</v>
      </c>
      <c r="K10" s="123"/>
      <c r="L10" s="98"/>
      <c r="M10" s="355">
        <f>E62+F62</f>
        <v>0</v>
      </c>
      <c r="N10" s="98">
        <f>E60</f>
        <v>0</v>
      </c>
      <c r="O10" s="98"/>
      <c r="P10" s="348">
        <f>F61</f>
        <v>0</v>
      </c>
      <c r="Q10" s="98"/>
      <c r="R10" s="355"/>
      <c r="S10" s="98"/>
      <c r="V10" s="419"/>
    </row>
    <row r="11" spans="1:22">
      <c r="A11" s="27" t="s">
        <v>99</v>
      </c>
      <c r="B11" s="100"/>
      <c r="C11" s="132">
        <v>120000</v>
      </c>
      <c r="D11" s="100"/>
      <c r="E11" s="123"/>
      <c r="F11" s="123"/>
      <c r="G11" s="123"/>
      <c r="H11" s="344"/>
      <c r="I11" s="348"/>
      <c r="J11" s="123"/>
      <c r="K11" s="123"/>
      <c r="L11" s="98"/>
      <c r="M11" s="355"/>
      <c r="N11" s="98"/>
      <c r="O11" s="98"/>
      <c r="P11" s="348"/>
      <c r="Q11" s="98"/>
      <c r="R11" s="355"/>
      <c r="S11" s="98"/>
      <c r="V11" s="419"/>
    </row>
    <row r="12" spans="1:22">
      <c r="A12" s="27" t="s">
        <v>221</v>
      </c>
      <c r="B12" s="100"/>
      <c r="C12" s="132">
        <v>100000</v>
      </c>
      <c r="D12" s="100"/>
      <c r="E12" s="152"/>
      <c r="F12" s="123"/>
      <c r="G12" s="123"/>
      <c r="H12" s="344"/>
      <c r="I12" s="348"/>
      <c r="J12" s="123"/>
      <c r="K12" s="123"/>
      <c r="L12" s="98"/>
      <c r="M12" s="355"/>
      <c r="N12" s="98"/>
      <c r="O12" s="98"/>
      <c r="P12" s="348"/>
      <c r="Q12" s="98"/>
      <c r="R12" s="355"/>
      <c r="S12" s="98"/>
    </row>
    <row r="13" spans="1:22">
      <c r="A13" s="27" t="s">
        <v>98</v>
      </c>
      <c r="B13" s="100"/>
      <c r="C13" s="132">
        <f>+TR!D105</f>
        <v>0</v>
      </c>
      <c r="D13" s="100"/>
      <c r="E13" s="123"/>
      <c r="F13" s="123"/>
      <c r="G13" s="123"/>
      <c r="H13" s="344"/>
      <c r="I13" s="348"/>
      <c r="J13" s="365"/>
      <c r="K13" s="123"/>
      <c r="L13" s="98"/>
      <c r="M13" s="355"/>
      <c r="N13" s="98"/>
      <c r="O13" s="98"/>
      <c r="P13" s="348"/>
      <c r="Q13" s="98"/>
      <c r="R13" s="355"/>
      <c r="S13" s="98"/>
    </row>
    <row r="14" spans="1:22" s="31" customFormat="1" ht="14.25">
      <c r="A14" s="8" t="s">
        <v>50</v>
      </c>
      <c r="B14" s="99">
        <v>0</v>
      </c>
      <c r="C14" s="133">
        <v>0</v>
      </c>
      <c r="D14" s="91">
        <f>SUM(D15:D20)</f>
        <v>0</v>
      </c>
      <c r="E14" s="124">
        <f>SUM(E15:E29)</f>
        <v>0</v>
      </c>
      <c r="F14" s="124">
        <f>SUM(F15:F29)</f>
        <v>0</v>
      </c>
      <c r="G14" s="124">
        <f>SUM(G15:G22)</f>
        <v>120110.52</v>
      </c>
      <c r="H14" s="345">
        <f>SUM(H15:H22)</f>
        <v>0</v>
      </c>
      <c r="I14" s="91">
        <f>SUM(I15:I29)</f>
        <v>110800</v>
      </c>
      <c r="J14" s="124">
        <f>SUM(J15:J29)</f>
        <v>0</v>
      </c>
      <c r="K14" s="124">
        <f>SUM(K15:K29)</f>
        <v>48235</v>
      </c>
      <c r="L14" s="90">
        <f t="shared" ref="L14:S14" si="2">SUM(L15:L20)</f>
        <v>0</v>
      </c>
      <c r="M14" s="90">
        <f t="shared" si="2"/>
        <v>0</v>
      </c>
      <c r="N14" s="90">
        <f t="shared" si="2"/>
        <v>0</v>
      </c>
      <c r="O14" s="90">
        <f t="shared" si="2"/>
        <v>0</v>
      </c>
      <c r="P14" s="91">
        <f t="shared" si="2"/>
        <v>0</v>
      </c>
      <c r="Q14" s="90">
        <f>SUM(Q15:Q29)</f>
        <v>0</v>
      </c>
      <c r="R14" s="356">
        <f t="shared" si="2"/>
        <v>0</v>
      </c>
      <c r="S14" s="90">
        <f t="shared" si="2"/>
        <v>0</v>
      </c>
    </row>
    <row r="15" spans="1:22">
      <c r="A15" s="36" t="s">
        <v>52</v>
      </c>
      <c r="B15" s="413"/>
      <c r="C15" s="414"/>
      <c r="D15" s="413"/>
      <c r="E15" s="152"/>
      <c r="F15" s="415"/>
      <c r="G15" s="415"/>
      <c r="H15" s="346">
        <f>F59/2.4</f>
        <v>0</v>
      </c>
      <c r="I15" s="815">
        <f>40000*2.77</f>
        <v>110800</v>
      </c>
      <c r="J15" s="152"/>
      <c r="K15" s="788">
        <f>55000*0.877</f>
        <v>48235</v>
      </c>
      <c r="L15" s="363"/>
      <c r="M15" s="416"/>
      <c r="N15" s="383"/>
      <c r="O15" s="383"/>
      <c r="P15" s="382"/>
      <c r="Q15" s="383"/>
      <c r="R15" s="416"/>
      <c r="S15" s="383"/>
    </row>
    <row r="16" spans="1:22" s="427" customFormat="1">
      <c r="A16" s="426" t="s">
        <v>53</v>
      </c>
      <c r="B16" s="413"/>
      <c r="C16" s="414"/>
      <c r="D16" s="413"/>
      <c r="E16" s="152"/>
      <c r="F16" s="152"/>
      <c r="G16" s="152"/>
      <c r="H16" s="428"/>
      <c r="I16" s="382"/>
      <c r="J16" s="152"/>
      <c r="K16" s="152"/>
      <c r="L16" s="383"/>
      <c r="M16" s="416"/>
      <c r="N16" s="383"/>
      <c r="O16" s="383"/>
      <c r="P16" s="382"/>
      <c r="Q16" s="383"/>
      <c r="R16" s="416"/>
      <c r="S16" s="383"/>
    </row>
    <row r="17" spans="1:19" s="427" customFormat="1">
      <c r="A17" s="426" t="s">
        <v>54</v>
      </c>
      <c r="B17" s="413"/>
      <c r="C17" s="414"/>
      <c r="D17" s="413"/>
      <c r="E17" s="152"/>
      <c r="F17" s="152"/>
      <c r="G17" s="152"/>
      <c r="H17" s="388"/>
      <c r="I17" s="382"/>
      <c r="J17" s="152"/>
      <c r="K17" s="152"/>
      <c r="L17" s="383"/>
      <c r="M17" s="416"/>
      <c r="N17" s="383"/>
      <c r="O17" s="383"/>
      <c r="P17" s="382"/>
      <c r="Q17" s="383"/>
      <c r="R17" s="416"/>
      <c r="S17" s="383"/>
    </row>
    <row r="18" spans="1:19" s="427" customFormat="1">
      <c r="A18" s="426" t="s">
        <v>302</v>
      </c>
      <c r="B18" s="413"/>
      <c r="C18" s="414"/>
      <c r="D18" s="413"/>
      <c r="E18" s="152"/>
      <c r="F18" s="152"/>
      <c r="G18" s="152">
        <f>12500+7610.52</f>
        <v>20110.52</v>
      </c>
      <c r="H18" s="388"/>
      <c r="I18" s="382"/>
      <c r="J18" s="152"/>
      <c r="K18" s="152"/>
      <c r="L18" s="383"/>
      <c r="M18" s="416"/>
      <c r="N18" s="383"/>
      <c r="O18" s="383"/>
      <c r="P18" s="382"/>
      <c r="Q18" s="383"/>
      <c r="R18" s="416"/>
      <c r="S18" s="383"/>
    </row>
    <row r="19" spans="1:19" s="427" customFormat="1">
      <c r="A19" s="426" t="s">
        <v>55</v>
      </c>
      <c r="B19" s="413"/>
      <c r="C19" s="414"/>
      <c r="D19" s="413"/>
      <c r="E19" s="152"/>
      <c r="F19" s="152"/>
      <c r="G19" s="291"/>
      <c r="H19" s="346"/>
      <c r="I19" s="382"/>
      <c r="J19" s="152"/>
      <c r="K19" s="152"/>
      <c r="L19" s="383"/>
      <c r="M19" s="416"/>
      <c r="N19" s="383"/>
      <c r="O19" s="383"/>
      <c r="P19" s="382"/>
      <c r="Q19" s="383"/>
      <c r="R19" s="416"/>
      <c r="S19" s="383"/>
    </row>
    <row r="20" spans="1:19">
      <c r="A20" s="36" t="s">
        <v>56</v>
      </c>
      <c r="B20" s="413"/>
      <c r="C20" s="414"/>
      <c r="D20" s="413"/>
      <c r="E20" s="152"/>
      <c r="F20" s="415"/>
      <c r="G20" s="152">
        <v>100000</v>
      </c>
      <c r="H20" s="346"/>
      <c r="I20" s="382"/>
      <c r="J20" s="152"/>
      <c r="K20" s="291"/>
      <c r="L20" s="383"/>
      <c r="M20" s="416"/>
      <c r="N20" s="383"/>
      <c r="O20" s="383"/>
      <c r="P20" s="382"/>
      <c r="Q20" s="383"/>
      <c r="R20" s="416"/>
      <c r="S20" s="383"/>
    </row>
    <row r="21" spans="1:19">
      <c r="A21" s="36" t="s">
        <v>240</v>
      </c>
      <c r="B21" s="413"/>
      <c r="C21" s="414"/>
      <c r="D21" s="413"/>
      <c r="E21" s="152"/>
      <c r="F21" s="152"/>
      <c r="G21" s="387"/>
      <c r="H21" s="346"/>
      <c r="I21" s="382"/>
      <c r="J21" s="152"/>
      <c r="K21" s="291"/>
      <c r="L21" s="383"/>
      <c r="M21" s="416"/>
      <c r="N21" s="383"/>
      <c r="O21" s="383"/>
      <c r="P21" s="382"/>
      <c r="Q21" s="383"/>
      <c r="R21" s="416"/>
      <c r="S21" s="383"/>
    </row>
    <row r="22" spans="1:19">
      <c r="A22" s="27" t="s">
        <v>162</v>
      </c>
      <c r="B22" s="413"/>
      <c r="C22" s="414"/>
      <c r="D22" s="413"/>
      <c r="E22" s="386"/>
      <c r="F22" s="152"/>
      <c r="G22" s="415"/>
      <c r="H22" s="388"/>
      <c r="I22" s="382"/>
      <c r="J22" s="152"/>
      <c r="K22" s="386"/>
      <c r="L22" s="383"/>
      <c r="M22" s="416"/>
      <c r="N22" s="383"/>
      <c r="O22" s="383"/>
      <c r="P22" s="382"/>
      <c r="Q22" s="383"/>
      <c r="R22" s="416"/>
      <c r="S22" s="383"/>
    </row>
    <row r="23" spans="1:19">
      <c r="A23" s="27" t="s">
        <v>89</v>
      </c>
      <c r="B23" s="413"/>
      <c r="C23" s="414"/>
      <c r="D23" s="413"/>
      <c r="E23" s="386"/>
      <c r="F23" s="415"/>
      <c r="G23" s="152"/>
      <c r="H23" s="346"/>
      <c r="I23" s="382"/>
      <c r="J23" s="152"/>
      <c r="K23" s="152"/>
      <c r="L23" s="383"/>
      <c r="M23" s="416"/>
      <c r="N23" s="383"/>
      <c r="O23" s="383"/>
      <c r="P23" s="382"/>
      <c r="Q23" s="383"/>
      <c r="R23" s="416"/>
      <c r="S23" s="383"/>
    </row>
    <row r="24" spans="1:19" s="427" customFormat="1">
      <c r="A24" s="516" t="s">
        <v>269</v>
      </c>
      <c r="B24" s="413"/>
      <c r="C24" s="414"/>
      <c r="D24" s="413"/>
      <c r="E24" s="386"/>
      <c r="F24" s="415"/>
      <c r="G24" s="152"/>
      <c r="H24" s="346"/>
      <c r="I24" s="517"/>
      <c r="J24" s="152"/>
      <c r="K24" s="152"/>
      <c r="L24" s="383"/>
      <c r="M24" s="416"/>
      <c r="N24" s="383"/>
      <c r="O24" s="383"/>
      <c r="P24" s="382"/>
      <c r="Q24" s="383"/>
      <c r="R24" s="416"/>
      <c r="S24" s="383"/>
    </row>
    <row r="25" spans="1:19" s="427" customFormat="1">
      <c r="A25" s="516" t="s">
        <v>303</v>
      </c>
      <c r="B25" s="413"/>
      <c r="C25" s="414"/>
      <c r="D25" s="413"/>
      <c r="E25" s="386"/>
      <c r="F25" s="415"/>
      <c r="G25" s="152"/>
      <c r="H25" s="346"/>
      <c r="I25" s="517"/>
      <c r="J25" s="152"/>
      <c r="K25" s="152"/>
      <c r="L25" s="383"/>
      <c r="M25" s="416"/>
      <c r="N25" s="383"/>
      <c r="O25" s="383"/>
      <c r="P25" s="382"/>
      <c r="Q25" s="383"/>
      <c r="R25" s="416"/>
      <c r="S25" s="383"/>
    </row>
    <row r="26" spans="1:19" s="427" customFormat="1">
      <c r="A26" s="516" t="s">
        <v>126</v>
      </c>
      <c r="B26" s="413"/>
      <c r="C26" s="414"/>
      <c r="D26" s="413"/>
      <c r="E26" s="386"/>
      <c r="F26" s="152"/>
      <c r="G26" s="152"/>
      <c r="H26" s="346"/>
      <c r="I26" s="382"/>
      <c r="J26" s="152"/>
      <c r="K26" s="152"/>
      <c r="L26" s="383"/>
      <c r="M26" s="416"/>
      <c r="N26" s="383"/>
      <c r="O26" s="383"/>
      <c r="P26" s="382"/>
      <c r="Q26" s="383"/>
      <c r="R26" s="416"/>
      <c r="S26" s="383"/>
    </row>
    <row r="27" spans="1:19" s="427" customFormat="1">
      <c r="A27" s="516" t="s">
        <v>243</v>
      </c>
      <c r="B27" s="413"/>
      <c r="C27" s="414"/>
      <c r="D27" s="413"/>
      <c r="E27" s="386"/>
      <c r="F27" s="365"/>
      <c r="G27" s="152"/>
      <c r="H27" s="346"/>
      <c r="I27" s="382"/>
      <c r="J27" s="152"/>
      <c r="K27" s="152"/>
      <c r="L27" s="383"/>
      <c r="M27" s="416"/>
      <c r="N27" s="383"/>
      <c r="O27" s="383"/>
      <c r="P27" s="382"/>
      <c r="Q27" s="383"/>
      <c r="R27" s="416"/>
      <c r="S27" s="383"/>
    </row>
    <row r="28" spans="1:19" s="427" customFormat="1">
      <c r="A28" s="516" t="s">
        <v>232</v>
      </c>
      <c r="B28" s="413"/>
      <c r="C28" s="414"/>
      <c r="D28" s="413"/>
      <c r="E28" s="386"/>
      <c r="F28" s="152"/>
      <c r="G28" s="152"/>
      <c r="H28" s="346"/>
      <c r="I28" s="382"/>
      <c r="J28" s="152"/>
      <c r="K28" s="152"/>
      <c r="L28" s="383"/>
      <c r="M28" s="416"/>
      <c r="N28" s="383"/>
      <c r="O28" s="383"/>
      <c r="P28" s="382"/>
      <c r="Q28" s="383"/>
      <c r="R28" s="416"/>
      <c r="S28" s="383"/>
    </row>
    <row r="29" spans="1:19">
      <c r="A29" s="27" t="s">
        <v>2</v>
      </c>
      <c r="B29" s="100"/>
      <c r="C29" s="132"/>
      <c r="D29" s="100"/>
      <c r="E29" s="386"/>
      <c r="F29" s="123"/>
      <c r="G29" s="123"/>
      <c r="H29" s="344"/>
      <c r="I29" s="348"/>
      <c r="J29" s="123"/>
      <c r="K29" s="123"/>
      <c r="L29" s="98"/>
      <c r="M29" s="355"/>
      <c r="N29" s="98"/>
      <c r="O29" s="98"/>
      <c r="P29" s="348"/>
      <c r="Q29" s="98"/>
      <c r="R29" s="355"/>
      <c r="S29" s="98"/>
    </row>
    <row r="30" spans="1:19">
      <c r="A30" s="97" t="s">
        <v>207</v>
      </c>
      <c r="B30" s="153"/>
      <c r="C30" s="154"/>
      <c r="D30" s="153"/>
      <c r="E30" s="155"/>
      <c r="F30" s="155"/>
      <c r="G30" s="155"/>
      <c r="H30" s="347"/>
      <c r="I30" s="349"/>
      <c r="J30" s="155"/>
      <c r="K30" s="155"/>
      <c r="L30" s="156"/>
      <c r="M30" s="357"/>
      <c r="N30" s="156"/>
      <c r="O30" s="156"/>
      <c r="P30" s="349"/>
      <c r="Q30" s="156"/>
      <c r="R30" s="357"/>
      <c r="S30" s="156"/>
    </row>
    <row r="31" spans="1:19" ht="15.75" thickBot="1">
      <c r="A31" s="97" t="s">
        <v>89</v>
      </c>
      <c r="B31" s="460"/>
      <c r="C31" s="471"/>
      <c r="D31" s="460"/>
      <c r="E31" s="461"/>
      <c r="F31" s="461"/>
      <c r="G31" s="461"/>
      <c r="H31" s="462"/>
      <c r="I31" s="404"/>
      <c r="J31" s="405"/>
      <c r="K31" s="405"/>
      <c r="L31" s="406"/>
      <c r="M31" s="454"/>
      <c r="N31" s="455"/>
      <c r="O31" s="455"/>
      <c r="P31" s="404"/>
      <c r="Q31" s="406"/>
      <c r="R31" s="454"/>
      <c r="S31" s="455"/>
    </row>
    <row r="32" spans="1:19" ht="15.75" thickBot="1">
      <c r="A32" s="37" t="s">
        <v>57</v>
      </c>
      <c r="B32" s="452">
        <f t="shared" ref="B32:S32" si="3">B33+B48+B67</f>
        <v>0</v>
      </c>
      <c r="C32" s="453">
        <f t="shared" si="3"/>
        <v>1532526.1260000002</v>
      </c>
      <c r="D32" s="452">
        <f t="shared" si="3"/>
        <v>0</v>
      </c>
      <c r="E32" s="457">
        <f t="shared" si="3"/>
        <v>2034.7929999999999</v>
      </c>
      <c r="F32" s="457">
        <f t="shared" si="3"/>
        <v>1141766.9818888891</v>
      </c>
      <c r="G32" s="457" t="e">
        <f t="shared" si="3"/>
        <v>#REF!</v>
      </c>
      <c r="H32" s="453">
        <f t="shared" si="3"/>
        <v>0</v>
      </c>
      <c r="I32" s="459">
        <f t="shared" si="3"/>
        <v>247320.584</v>
      </c>
      <c r="J32" s="407">
        <f t="shared" si="3"/>
        <v>5220.0950000000003</v>
      </c>
      <c r="K32" s="407">
        <f t="shared" si="3"/>
        <v>45000</v>
      </c>
      <c r="L32" s="408">
        <f t="shared" si="3"/>
        <v>95000</v>
      </c>
      <c r="M32" s="458">
        <f t="shared" si="3"/>
        <v>51197.402000000002</v>
      </c>
      <c r="N32" s="458">
        <f t="shared" si="3"/>
        <v>4600</v>
      </c>
      <c r="O32" s="458">
        <f t="shared" si="3"/>
        <v>0</v>
      </c>
      <c r="P32" s="452">
        <f t="shared" si="3"/>
        <v>5500</v>
      </c>
      <c r="Q32" s="453">
        <f t="shared" si="3"/>
        <v>0</v>
      </c>
      <c r="R32" s="458">
        <f t="shared" si="3"/>
        <v>0</v>
      </c>
      <c r="S32" s="458">
        <f t="shared" si="3"/>
        <v>0</v>
      </c>
    </row>
    <row r="33" spans="1:19" s="31" customFormat="1" ht="14.25">
      <c r="A33" s="38" t="s">
        <v>58</v>
      </c>
      <c r="B33" s="463">
        <f>SUM(B34:B47)</f>
        <v>0</v>
      </c>
      <c r="C33" s="472"/>
      <c r="D33" s="463">
        <f t="shared" ref="D33:S33" si="4">SUM(D34:D47)</f>
        <v>0</v>
      </c>
      <c r="E33" s="464">
        <f t="shared" si="4"/>
        <v>0</v>
      </c>
      <c r="F33" s="464">
        <f t="shared" si="4"/>
        <v>0</v>
      </c>
      <c r="G33" s="464" t="e">
        <f t="shared" si="4"/>
        <v>#REF!</v>
      </c>
      <c r="H33" s="465">
        <f>SUM(H34:H47)</f>
        <v>0</v>
      </c>
      <c r="I33" s="409">
        <f t="shared" si="4"/>
        <v>0</v>
      </c>
      <c r="J33" s="410">
        <f t="shared" si="4"/>
        <v>0</v>
      </c>
      <c r="K33" s="410">
        <f t="shared" si="4"/>
        <v>45000</v>
      </c>
      <c r="L33" s="411">
        <f t="shared" si="4"/>
        <v>0</v>
      </c>
      <c r="M33" s="456">
        <f t="shared" si="4"/>
        <v>0</v>
      </c>
      <c r="N33" s="451">
        <f t="shared" si="4"/>
        <v>0</v>
      </c>
      <c r="O33" s="451">
        <f t="shared" si="4"/>
        <v>0</v>
      </c>
      <c r="P33" s="409">
        <f t="shared" si="4"/>
        <v>0</v>
      </c>
      <c r="Q33" s="411">
        <f>SUM(Q34:Q47)</f>
        <v>0</v>
      </c>
      <c r="R33" s="456">
        <f t="shared" si="4"/>
        <v>0</v>
      </c>
      <c r="S33" s="451">
        <f t="shared" si="4"/>
        <v>0</v>
      </c>
    </row>
    <row r="34" spans="1:19" s="1" customFormat="1" ht="12.75">
      <c r="A34" s="39" t="s">
        <v>59</v>
      </c>
      <c r="B34" s="96"/>
      <c r="C34" s="134"/>
      <c r="D34" s="96"/>
      <c r="E34" s="126"/>
      <c r="F34" s="126"/>
      <c r="G34" s="126">
        <f>etranger!C55</f>
        <v>0</v>
      </c>
      <c r="H34" s="351"/>
      <c r="I34" s="364"/>
      <c r="J34" s="126"/>
      <c r="K34" s="126"/>
      <c r="L34" s="95"/>
      <c r="M34" s="358"/>
      <c r="N34" s="95"/>
      <c r="O34" s="95"/>
      <c r="P34" s="364"/>
      <c r="Q34" s="95"/>
      <c r="R34" s="358"/>
      <c r="S34" s="95"/>
    </row>
    <row r="35" spans="1:19" s="1" customFormat="1" ht="12.75">
      <c r="A35" s="39" t="s">
        <v>300</v>
      </c>
      <c r="B35" s="96"/>
      <c r="C35" s="134"/>
      <c r="D35" s="96"/>
      <c r="E35" s="126"/>
      <c r="F35" s="126"/>
      <c r="G35" s="126"/>
      <c r="H35" s="351"/>
      <c r="I35" s="364"/>
      <c r="J35" s="126"/>
      <c r="K35" s="126"/>
      <c r="L35" s="95"/>
      <c r="M35" s="358"/>
      <c r="N35" s="95"/>
      <c r="O35" s="95"/>
      <c r="P35" s="364"/>
      <c r="Q35" s="95"/>
      <c r="R35" s="358"/>
      <c r="S35" s="95"/>
    </row>
    <row r="36" spans="1:19" s="1" customFormat="1" ht="12.75">
      <c r="A36" s="39" t="s">
        <v>139</v>
      </c>
      <c r="B36" s="96"/>
      <c r="C36" s="134"/>
      <c r="D36" s="96"/>
      <c r="E36" s="126"/>
      <c r="F36" s="126"/>
      <c r="G36" s="126"/>
      <c r="H36" s="351"/>
      <c r="I36" s="364"/>
      <c r="J36" s="126"/>
      <c r="K36" s="126"/>
      <c r="L36" s="95"/>
      <c r="M36" s="358"/>
      <c r="N36" s="95"/>
      <c r="O36" s="95"/>
      <c r="P36" s="364"/>
      <c r="Q36" s="95"/>
      <c r="R36" s="358"/>
      <c r="S36" s="95"/>
    </row>
    <row r="37" spans="1:19" s="1" customFormat="1" ht="12.75">
      <c r="A37" s="39" t="s">
        <v>60</v>
      </c>
      <c r="B37" s="96"/>
      <c r="C37" s="134"/>
      <c r="D37" s="96"/>
      <c r="E37" s="126"/>
      <c r="F37" s="126"/>
      <c r="G37" s="126">
        <f>+etranger!C36</f>
        <v>47355.28</v>
      </c>
      <c r="H37" s="351"/>
      <c r="I37" s="364"/>
      <c r="J37" s="126"/>
      <c r="K37" s="126"/>
      <c r="L37" s="95"/>
      <c r="M37" s="358"/>
      <c r="N37" s="95"/>
      <c r="O37" s="95"/>
      <c r="P37" s="364"/>
      <c r="Q37" s="95"/>
      <c r="R37" s="358"/>
      <c r="S37" s="95"/>
    </row>
    <row r="38" spans="1:19" s="1" customFormat="1" ht="12.75">
      <c r="A38" s="39" t="s">
        <v>1431</v>
      </c>
      <c r="B38" s="96"/>
      <c r="C38" s="134"/>
      <c r="D38" s="96"/>
      <c r="E38" s="126"/>
      <c r="F38" s="126"/>
      <c r="G38" s="126">
        <f>+etranger!C46</f>
        <v>0</v>
      </c>
      <c r="H38" s="351"/>
      <c r="I38" s="364"/>
      <c r="J38" s="126"/>
      <c r="K38" s="126"/>
      <c r="L38" s="95"/>
      <c r="M38" s="358"/>
      <c r="N38" s="95"/>
      <c r="O38" s="95"/>
      <c r="P38" s="364"/>
      <c r="Q38" s="95"/>
      <c r="R38" s="358"/>
      <c r="S38" s="95"/>
    </row>
    <row r="39" spans="1:19" s="1" customFormat="1" ht="12.75">
      <c r="A39" s="39" t="s">
        <v>171</v>
      </c>
      <c r="B39" s="96"/>
      <c r="C39" s="134"/>
      <c r="D39" s="96"/>
      <c r="E39" s="126"/>
      <c r="F39" s="126"/>
      <c r="G39" s="126"/>
      <c r="H39" s="352"/>
      <c r="I39" s="364"/>
      <c r="J39" s="126"/>
      <c r="K39" s="126"/>
      <c r="L39" s="95"/>
      <c r="M39" s="358"/>
      <c r="N39" s="95"/>
      <c r="O39" s="95"/>
      <c r="P39" s="364"/>
      <c r="Q39" s="95"/>
      <c r="R39" s="358"/>
      <c r="S39" s="95"/>
    </row>
    <row r="40" spans="1:19" s="1" customFormat="1" ht="12.75">
      <c r="A40" s="39" t="s">
        <v>61</v>
      </c>
      <c r="B40" s="96"/>
      <c r="C40" s="134"/>
      <c r="D40" s="96"/>
      <c r="E40" s="126"/>
      <c r="F40" s="126"/>
      <c r="G40" s="126"/>
      <c r="H40" s="351"/>
      <c r="I40" s="364"/>
      <c r="J40" s="126"/>
      <c r="K40" s="126"/>
      <c r="L40" s="95"/>
      <c r="M40" s="358"/>
      <c r="N40" s="95"/>
      <c r="O40" s="95"/>
      <c r="P40" s="364"/>
      <c r="Q40" s="95"/>
      <c r="R40" s="358"/>
      <c r="S40" s="95"/>
    </row>
    <row r="41" spans="1:19" s="1" customFormat="1" ht="12.75">
      <c r="A41" s="39" t="s">
        <v>62</v>
      </c>
      <c r="B41" s="96"/>
      <c r="C41" s="134"/>
      <c r="D41" s="96"/>
      <c r="E41" s="126"/>
      <c r="F41" s="126"/>
      <c r="G41" s="126" t="e">
        <f>+etranger!#REF!+etranger!#REF!+etranger!C22+etranger!C23+etranger!C24+etranger!C25+etranger!C26</f>
        <v>#REF!</v>
      </c>
      <c r="H41" s="351"/>
      <c r="I41" s="364"/>
      <c r="J41" s="126"/>
      <c r="K41" s="126"/>
      <c r="L41" s="95"/>
      <c r="M41" s="358"/>
      <c r="N41" s="95"/>
      <c r="O41" s="95"/>
      <c r="P41" s="364"/>
      <c r="Q41" s="95"/>
      <c r="R41" s="358"/>
      <c r="S41" s="95"/>
    </row>
    <row r="42" spans="1:19" s="1" customFormat="1" ht="12.75">
      <c r="A42" s="39" t="s">
        <v>63</v>
      </c>
      <c r="B42" s="96"/>
      <c r="C42" s="134"/>
      <c r="D42" s="96"/>
      <c r="E42" s="126"/>
      <c r="F42" s="126"/>
      <c r="G42" s="126"/>
      <c r="H42" s="351"/>
      <c r="I42" s="364"/>
      <c r="J42" s="126"/>
      <c r="K42" s="126"/>
      <c r="L42" s="95"/>
      <c r="M42" s="358"/>
      <c r="N42" s="95"/>
      <c r="O42" s="95"/>
      <c r="P42" s="364"/>
      <c r="Q42" s="95"/>
      <c r="R42" s="358"/>
      <c r="S42" s="95"/>
    </row>
    <row r="43" spans="1:19" s="6" customFormat="1" ht="15.75">
      <c r="A43" s="519" t="s">
        <v>301</v>
      </c>
      <c r="B43" s="96"/>
      <c r="C43" s="134"/>
      <c r="D43" s="96"/>
      <c r="E43" s="520"/>
      <c r="F43" s="520"/>
      <c r="G43" s="524"/>
      <c r="H43" s="521"/>
      <c r="I43" s="96"/>
      <c r="J43" s="520"/>
      <c r="K43" s="520"/>
      <c r="L43" s="522"/>
      <c r="M43" s="523"/>
      <c r="N43" s="522"/>
      <c r="O43" s="522"/>
      <c r="P43" s="96"/>
      <c r="Q43" s="522">
        <f>+etranger!C77</f>
        <v>0</v>
      </c>
      <c r="R43" s="523"/>
      <c r="S43" s="522"/>
    </row>
    <row r="44" spans="1:19" s="1" customFormat="1" ht="12.75">
      <c r="A44" s="39" t="s">
        <v>64</v>
      </c>
      <c r="B44" s="96"/>
      <c r="C44" s="134"/>
      <c r="D44" s="96"/>
      <c r="E44" s="126"/>
      <c r="F44" s="126"/>
      <c r="G44" s="126">
        <f>etranger!C39+etranger!C40</f>
        <v>0</v>
      </c>
      <c r="H44" s="351"/>
      <c r="I44" s="364"/>
      <c r="J44" s="126"/>
      <c r="K44" s="126"/>
      <c r="L44" s="95"/>
      <c r="M44" s="358"/>
      <c r="N44" s="95"/>
      <c r="O44" s="95"/>
      <c r="P44" s="364"/>
      <c r="Q44" s="95"/>
      <c r="R44" s="358"/>
      <c r="S44" s="95"/>
    </row>
    <row r="45" spans="1:19" s="1" customFormat="1" ht="12.75">
      <c r="A45" s="39" t="s">
        <v>65</v>
      </c>
      <c r="B45" s="96"/>
      <c r="C45" s="134"/>
      <c r="D45" s="96"/>
      <c r="E45" s="126"/>
      <c r="F45" s="126"/>
      <c r="G45" s="421"/>
      <c r="H45" s="351"/>
      <c r="I45" s="364"/>
      <c r="J45" s="126"/>
      <c r="K45" s="126"/>
      <c r="L45" s="95"/>
      <c r="M45" s="358"/>
      <c r="N45" s="95"/>
      <c r="O45" s="95"/>
      <c r="P45" s="364"/>
      <c r="Q45" s="95"/>
      <c r="R45" s="358"/>
      <c r="S45" s="95"/>
    </row>
    <row r="46" spans="1:19" s="1" customFormat="1" ht="12.75">
      <c r="A46" s="39" t="s">
        <v>1432</v>
      </c>
      <c r="B46" s="96"/>
      <c r="C46" s="134"/>
      <c r="D46" s="96"/>
      <c r="E46" s="126"/>
      <c r="F46" s="126"/>
      <c r="G46" s="126">
        <f>+etranger!C43</f>
        <v>5705.1</v>
      </c>
      <c r="H46" s="351"/>
      <c r="I46" s="364"/>
      <c r="J46" s="126"/>
      <c r="K46" s="126"/>
      <c r="L46" s="95"/>
      <c r="M46" s="358"/>
      <c r="N46" s="95"/>
      <c r="O46" s="95"/>
      <c r="P46" s="364"/>
      <c r="Q46" s="95"/>
      <c r="R46" s="358"/>
      <c r="S46" s="95"/>
    </row>
    <row r="47" spans="1:19" s="1" customFormat="1" ht="12.75">
      <c r="A47" s="39" t="s">
        <v>1425</v>
      </c>
      <c r="B47" s="96"/>
      <c r="C47" s="134"/>
      <c r="D47" s="96"/>
      <c r="E47" s="126"/>
      <c r="F47" s="126"/>
      <c r="G47" s="126"/>
      <c r="H47" s="351"/>
      <c r="I47" s="364"/>
      <c r="J47" s="126"/>
      <c r="K47" s="789">
        <v>45000</v>
      </c>
      <c r="L47" s="95"/>
      <c r="M47" s="358"/>
      <c r="N47" s="95"/>
      <c r="O47" s="95"/>
      <c r="P47" s="364"/>
      <c r="Q47" s="95"/>
      <c r="R47" s="358"/>
      <c r="S47" s="95"/>
    </row>
    <row r="48" spans="1:19" s="31" customFormat="1" ht="14.25">
      <c r="A48" s="94" t="s">
        <v>97</v>
      </c>
      <c r="B48" s="93">
        <f>SUM(B49:B65)</f>
        <v>0</v>
      </c>
      <c r="C48" s="125">
        <f>SUM(C49:C65)</f>
        <v>1532526.1260000002</v>
      </c>
      <c r="D48" s="93">
        <f>SUM(D49:D63)</f>
        <v>0</v>
      </c>
      <c r="E48" s="125">
        <f>SUM(E49:E66)</f>
        <v>2034.7929999999999</v>
      </c>
      <c r="F48" s="125">
        <f>SUM(F49:F65)</f>
        <v>890992.99800000014</v>
      </c>
      <c r="G48" s="125">
        <f>SUM(G49:G66)</f>
        <v>0</v>
      </c>
      <c r="H48" s="350">
        <f>SUM(H49:H63)</f>
        <v>0</v>
      </c>
      <c r="I48" s="93">
        <f>SUM(I49:I63)</f>
        <v>62320.584000000003</v>
      </c>
      <c r="J48" s="125">
        <f>SUM(J49:J65)</f>
        <v>5220.0950000000003</v>
      </c>
      <c r="K48" s="125">
        <f>SUM(K49:K63)</f>
        <v>0</v>
      </c>
      <c r="L48" s="92">
        <f>SUM(L49:L63)</f>
        <v>95000</v>
      </c>
      <c r="M48" s="290">
        <f>SUM(M49:M63)</f>
        <v>51197.402000000002</v>
      </c>
      <c r="N48" s="92">
        <f t="shared" ref="N48:S48" si="5">SUM(N49:N66)</f>
        <v>4600</v>
      </c>
      <c r="O48" s="92">
        <f t="shared" si="5"/>
        <v>0</v>
      </c>
      <c r="P48" s="93">
        <f t="shared" si="5"/>
        <v>5500</v>
      </c>
      <c r="Q48" s="92">
        <f t="shared" si="5"/>
        <v>0</v>
      </c>
      <c r="R48" s="290">
        <f t="shared" si="5"/>
        <v>0</v>
      </c>
      <c r="S48" s="92">
        <f t="shared" si="5"/>
        <v>0</v>
      </c>
    </row>
    <row r="49" spans="1:19">
      <c r="A49" s="39" t="s">
        <v>96</v>
      </c>
      <c r="B49" s="385"/>
      <c r="C49" s="417">
        <v>80000</v>
      </c>
      <c r="D49" s="385"/>
      <c r="E49" s="151"/>
      <c r="F49" s="151">
        <v>85000</v>
      </c>
      <c r="G49" s="151"/>
      <c r="H49" s="384"/>
      <c r="I49" s="385">
        <v>20000</v>
      </c>
      <c r="J49" s="151"/>
      <c r="K49" s="151"/>
      <c r="L49" s="158"/>
      <c r="M49" s="359">
        <v>2500</v>
      </c>
      <c r="N49" s="158">
        <v>1000</v>
      </c>
      <c r="O49" s="158"/>
      <c r="P49" s="89">
        <v>1000</v>
      </c>
      <c r="Q49" s="88"/>
      <c r="R49" s="360"/>
      <c r="S49" s="88"/>
    </row>
    <row r="50" spans="1:19">
      <c r="A50" s="39" t="s">
        <v>95</v>
      </c>
      <c r="B50" s="385"/>
      <c r="C50" s="417">
        <v>30000</v>
      </c>
      <c r="D50" s="385"/>
      <c r="E50" s="151"/>
      <c r="F50" s="151">
        <v>95000</v>
      </c>
      <c r="G50" s="151"/>
      <c r="H50" s="384"/>
      <c r="I50" s="385">
        <v>21000</v>
      </c>
      <c r="J50" s="151"/>
      <c r="K50" s="151"/>
      <c r="L50" s="158"/>
      <c r="M50" s="359">
        <v>9000</v>
      </c>
      <c r="N50" s="158">
        <v>3600</v>
      </c>
      <c r="O50" s="158"/>
      <c r="P50" s="89">
        <v>4500</v>
      </c>
      <c r="Q50" s="88"/>
      <c r="R50" s="360"/>
      <c r="S50" s="88"/>
    </row>
    <row r="51" spans="1:19">
      <c r="A51" s="39" t="s">
        <v>137</v>
      </c>
      <c r="B51" s="385"/>
      <c r="C51" s="417"/>
      <c r="D51" s="385"/>
      <c r="E51" s="151"/>
      <c r="F51" s="151"/>
      <c r="G51" s="151"/>
      <c r="H51" s="384"/>
      <c r="I51" s="385"/>
      <c r="J51" s="151"/>
      <c r="K51" s="151"/>
      <c r="L51" s="158"/>
      <c r="M51" s="359"/>
      <c r="N51" s="158"/>
      <c r="O51" s="158"/>
      <c r="P51" s="89"/>
      <c r="Q51" s="88"/>
      <c r="R51" s="360"/>
      <c r="S51" s="88"/>
    </row>
    <row r="52" spans="1:19">
      <c r="A52" s="39" t="s">
        <v>94</v>
      </c>
      <c r="B52" s="385"/>
      <c r="C52" s="417"/>
      <c r="D52" s="385"/>
      <c r="E52" s="151"/>
      <c r="F52" s="151">
        <v>80000</v>
      </c>
      <c r="G52" s="151"/>
      <c r="H52" s="384"/>
      <c r="I52" s="385">
        <f>+STA!F2</f>
        <v>13688.550999999999</v>
      </c>
      <c r="J52" s="151"/>
      <c r="K52" s="151"/>
      <c r="L52" s="158"/>
      <c r="M52" s="359"/>
      <c r="N52" s="158"/>
      <c r="O52" s="158"/>
      <c r="P52" s="89"/>
      <c r="Q52" s="88"/>
      <c r="R52" s="360"/>
      <c r="S52" s="88"/>
    </row>
    <row r="53" spans="1:19">
      <c r="A53" s="39" t="s">
        <v>93</v>
      </c>
      <c r="B53" s="385"/>
      <c r="C53" s="417">
        <f>2036.086</f>
        <v>2036.086</v>
      </c>
      <c r="D53" s="385"/>
      <c r="E53" s="151">
        <v>2034.7929999999999</v>
      </c>
      <c r="F53" s="151">
        <f>7940.233-3088.916-1780.737</f>
        <v>3070.58</v>
      </c>
      <c r="G53" s="151"/>
      <c r="H53" s="384"/>
      <c r="I53" s="385"/>
      <c r="J53" s="151">
        <v>5220.0950000000003</v>
      </c>
      <c r="K53" s="151"/>
      <c r="L53" s="158"/>
      <c r="M53" s="359">
        <v>0</v>
      </c>
      <c r="N53" s="158"/>
      <c r="O53" s="158"/>
      <c r="P53" s="89">
        <v>0</v>
      </c>
      <c r="Q53" s="88"/>
      <c r="R53" s="360"/>
      <c r="S53" s="88"/>
    </row>
    <row r="54" spans="1:19">
      <c r="A54" s="39" t="s">
        <v>206</v>
      </c>
      <c r="B54" s="385"/>
      <c r="C54" s="417"/>
      <c r="D54" s="385"/>
      <c r="E54" s="418"/>
      <c r="F54" s="151">
        <f>+SNA!F107+SNA!F108+SNA!F112+SNA!F116</f>
        <v>340905.723</v>
      </c>
      <c r="G54" s="151"/>
      <c r="H54" s="384"/>
      <c r="I54" s="385"/>
      <c r="J54" s="151"/>
      <c r="K54" s="151"/>
      <c r="L54" s="158"/>
      <c r="M54" s="359"/>
      <c r="N54" s="158"/>
      <c r="O54" s="158"/>
      <c r="P54" s="89"/>
      <c r="Q54" s="88"/>
      <c r="R54" s="360"/>
      <c r="S54" s="88"/>
    </row>
    <row r="55" spans="1:19">
      <c r="A55" s="39" t="s">
        <v>92</v>
      </c>
      <c r="B55" s="385"/>
      <c r="C55" s="417">
        <v>25000</v>
      </c>
      <c r="D55" s="385"/>
      <c r="E55" s="151"/>
      <c r="F55" s="151"/>
      <c r="G55" s="151"/>
      <c r="H55" s="384"/>
      <c r="I55" s="385"/>
      <c r="J55" s="151"/>
      <c r="K55" s="151"/>
      <c r="L55" s="158"/>
      <c r="M55" s="359"/>
      <c r="N55" s="158"/>
      <c r="O55" s="158"/>
      <c r="P55" s="89"/>
      <c r="Q55" s="88"/>
      <c r="R55" s="360"/>
      <c r="S55" s="88"/>
    </row>
    <row r="56" spans="1:19" s="31" customFormat="1">
      <c r="A56" s="39" t="s">
        <v>46</v>
      </c>
      <c r="B56" s="385"/>
      <c r="C56" s="417">
        <v>150000</v>
      </c>
      <c r="D56" s="385"/>
      <c r="E56" s="285"/>
      <c r="F56" s="151"/>
      <c r="G56" s="151"/>
      <c r="H56" s="384"/>
      <c r="I56" s="385"/>
      <c r="J56" s="151"/>
      <c r="K56" s="151"/>
      <c r="L56" s="158"/>
      <c r="M56" s="359"/>
      <c r="N56" s="158"/>
      <c r="O56" s="158"/>
      <c r="P56" s="89"/>
      <c r="Q56" s="88"/>
      <c r="R56" s="360"/>
      <c r="S56" s="88"/>
    </row>
    <row r="57" spans="1:19" s="31" customFormat="1">
      <c r="A57" s="39" t="s">
        <v>91</v>
      </c>
      <c r="B57" s="385"/>
      <c r="C57" s="417">
        <v>75000</v>
      </c>
      <c r="D57" s="385"/>
      <c r="E57" s="151"/>
      <c r="F57" s="151"/>
      <c r="G57" s="151"/>
      <c r="H57" s="384"/>
      <c r="I57" s="385"/>
      <c r="J57" s="151"/>
      <c r="K57" s="151"/>
      <c r="L57" s="158"/>
      <c r="M57" s="359"/>
      <c r="N57" s="158"/>
      <c r="O57" s="158"/>
      <c r="P57" s="89"/>
      <c r="Q57" s="88"/>
      <c r="R57" s="360"/>
      <c r="S57" s="88"/>
    </row>
    <row r="58" spans="1:19">
      <c r="A58" s="39" t="s">
        <v>45</v>
      </c>
      <c r="B58" s="385"/>
      <c r="C58" s="417">
        <f>200000+950000</f>
        <v>1150000</v>
      </c>
      <c r="D58" s="385"/>
      <c r="E58" s="151"/>
      <c r="F58" s="151"/>
      <c r="G58" s="151"/>
      <c r="H58" s="384"/>
      <c r="I58" s="385"/>
      <c r="J58" s="151"/>
      <c r="K58" s="151"/>
      <c r="L58" s="158"/>
      <c r="M58" s="359"/>
      <c r="N58" s="158"/>
      <c r="O58" s="158"/>
      <c r="P58" s="89"/>
      <c r="Q58" s="88"/>
      <c r="R58" s="360"/>
      <c r="S58" s="88"/>
    </row>
    <row r="59" spans="1:19">
      <c r="A59" s="39" t="s">
        <v>138</v>
      </c>
      <c r="B59" s="385"/>
      <c r="C59" s="417"/>
      <c r="D59" s="385"/>
      <c r="E59" s="151"/>
      <c r="F59" s="285"/>
      <c r="G59" s="285"/>
      <c r="H59" s="518"/>
      <c r="I59" s="412"/>
      <c r="J59" s="151"/>
      <c r="K59" s="324"/>
      <c r="L59" s="787">
        <f>55000+40000</f>
        <v>95000</v>
      </c>
      <c r="M59" s="359"/>
      <c r="N59" s="158"/>
      <c r="O59" s="158"/>
      <c r="P59" s="89"/>
      <c r="Q59" s="88"/>
      <c r="R59" s="360"/>
      <c r="S59" s="88"/>
    </row>
    <row r="60" spans="1:19">
      <c r="A60" s="39" t="s">
        <v>128</v>
      </c>
      <c r="B60" s="385"/>
      <c r="C60" s="417"/>
      <c r="D60" s="385"/>
      <c r="E60" s="151"/>
      <c r="F60" s="151"/>
      <c r="G60" s="151"/>
      <c r="H60" s="384"/>
      <c r="I60" s="385"/>
      <c r="J60" s="151"/>
      <c r="K60" s="151"/>
      <c r="L60" s="158"/>
      <c r="M60" s="359"/>
      <c r="N60" s="158"/>
      <c r="O60" s="158"/>
      <c r="P60" s="89"/>
      <c r="Q60" s="88"/>
      <c r="R60" s="360"/>
      <c r="S60" s="88"/>
    </row>
    <row r="61" spans="1:19">
      <c r="A61" s="39" t="s">
        <v>226</v>
      </c>
      <c r="B61" s="385"/>
      <c r="C61" s="417"/>
      <c r="D61" s="385"/>
      <c r="E61" s="151"/>
      <c r="F61" s="285"/>
      <c r="G61" s="151"/>
      <c r="H61" s="384"/>
      <c r="I61" s="385"/>
      <c r="J61" s="151"/>
      <c r="K61" s="151"/>
      <c r="L61" s="158"/>
      <c r="M61" s="359"/>
      <c r="N61" s="158"/>
      <c r="O61" s="158"/>
      <c r="P61" s="89"/>
      <c r="Q61" s="88"/>
      <c r="R61" s="360"/>
      <c r="S61" s="88"/>
    </row>
    <row r="62" spans="1:19">
      <c r="A62" s="39" t="s">
        <v>121</v>
      </c>
      <c r="B62" s="385"/>
      <c r="C62" s="417"/>
      <c r="D62" s="385"/>
      <c r="E62" s="418"/>
      <c r="F62" s="285"/>
      <c r="G62" s="151"/>
      <c r="H62" s="384"/>
      <c r="I62" s="385"/>
      <c r="J62" s="151"/>
      <c r="K62" s="151"/>
      <c r="L62" s="158"/>
      <c r="M62" s="359"/>
      <c r="N62" s="158"/>
      <c r="O62" s="158"/>
      <c r="P62" s="89"/>
      <c r="Q62" s="88"/>
      <c r="R62" s="360"/>
      <c r="S62" s="88"/>
    </row>
    <row r="63" spans="1:19">
      <c r="A63" s="39" t="s">
        <v>90</v>
      </c>
      <c r="B63" s="385"/>
      <c r="C63" s="417">
        <f>SUM(SND!F16:F21)</f>
        <v>10490.04</v>
      </c>
      <c r="D63" s="385"/>
      <c r="E63" s="151"/>
      <c r="F63" s="151">
        <f>SUM(SNA!F70:F106)+SUM(SNA!F109:F111)+SUM(SNA!F113:F115)+SUM(SNA!F117:F117)</f>
        <v>137016.69500000001</v>
      </c>
      <c r="G63" s="151"/>
      <c r="H63" s="384"/>
      <c r="I63" s="385">
        <f>STA!F20+STA!F21+STA!F22+STA!F23+STA!F24+STA!F25</f>
        <v>7632.0330000000004</v>
      </c>
      <c r="J63" s="151"/>
      <c r="K63" s="151"/>
      <c r="L63" s="158"/>
      <c r="M63" s="359">
        <f>TIP!F6+TIP!F7+TIP!F8+TIP!F9+TIP!F10+TIP!F11+TIP!F12+TIP!F13</f>
        <v>39697.402000000002</v>
      </c>
      <c r="N63" s="158"/>
      <c r="O63" s="158"/>
      <c r="P63" s="89"/>
      <c r="Q63" s="88"/>
      <c r="R63" s="360"/>
      <c r="S63" s="88"/>
    </row>
    <row r="64" spans="1:19">
      <c r="A64" s="39" t="s">
        <v>1424</v>
      </c>
      <c r="B64" s="385"/>
      <c r="C64" s="417">
        <v>10000</v>
      </c>
      <c r="D64" s="385"/>
      <c r="E64" s="151"/>
      <c r="F64" s="151">
        <v>150000</v>
      </c>
      <c r="G64" s="151"/>
      <c r="H64" s="384"/>
      <c r="I64" s="385"/>
      <c r="J64" s="151"/>
      <c r="K64" s="151"/>
      <c r="L64" s="158"/>
      <c r="M64" s="359"/>
      <c r="N64" s="158"/>
      <c r="O64" s="158"/>
      <c r="P64" s="89"/>
      <c r="Q64" s="88"/>
      <c r="R64" s="360"/>
      <c r="S64" s="88"/>
    </row>
    <row r="65" spans="1:19">
      <c r="A65" s="39" t="s">
        <v>129</v>
      </c>
      <c r="B65" s="89"/>
      <c r="C65" s="135"/>
      <c r="D65" s="89"/>
      <c r="E65" s="127"/>
      <c r="F65" s="525"/>
      <c r="G65" s="525"/>
      <c r="H65" s="353"/>
      <c r="I65" s="89"/>
      <c r="J65" s="127"/>
      <c r="K65" s="127"/>
      <c r="L65" s="88"/>
      <c r="M65" s="360"/>
      <c r="N65" s="642"/>
      <c r="O65" s="88"/>
      <c r="P65" s="89"/>
      <c r="Q65" s="88"/>
      <c r="R65" s="360"/>
      <c r="S65" s="88"/>
    </row>
    <row r="66" spans="1:19">
      <c r="A66" s="39" t="s">
        <v>126</v>
      </c>
      <c r="B66" s="89"/>
      <c r="C66" s="135"/>
      <c r="D66" s="89"/>
      <c r="E66" s="127"/>
      <c r="F66" s="127"/>
      <c r="G66" s="127"/>
      <c r="H66" s="353"/>
      <c r="I66" s="89"/>
      <c r="J66" s="127"/>
      <c r="K66" s="127"/>
      <c r="L66" s="88"/>
      <c r="M66" s="360"/>
      <c r="N66" s="88"/>
      <c r="O66" s="88"/>
      <c r="P66" s="89"/>
      <c r="Q66" s="88"/>
      <c r="R66" s="360"/>
      <c r="S66" s="88"/>
    </row>
    <row r="67" spans="1:19" s="31" customFormat="1" ht="14.25">
      <c r="A67" s="40" t="s">
        <v>66</v>
      </c>
      <c r="B67" s="91">
        <f>SUM(B68:B70)</f>
        <v>0</v>
      </c>
      <c r="C67" s="124">
        <f>SUM(C68:C70)</f>
        <v>0</v>
      </c>
      <c r="D67" s="91">
        <f t="shared" ref="D67:S67" si="6">SUM(D68:D70)</f>
        <v>0</v>
      </c>
      <c r="E67" s="124">
        <f t="shared" si="6"/>
        <v>0</v>
      </c>
      <c r="F67" s="124">
        <f t="shared" si="6"/>
        <v>250773.98388888891</v>
      </c>
      <c r="G67" s="124">
        <f t="shared" si="6"/>
        <v>0</v>
      </c>
      <c r="H67" s="345">
        <f t="shared" si="6"/>
        <v>0</v>
      </c>
      <c r="I67" s="91">
        <f t="shared" si="6"/>
        <v>185000</v>
      </c>
      <c r="J67" s="124">
        <f t="shared" si="6"/>
        <v>0</v>
      </c>
      <c r="K67" s="124">
        <f t="shared" si="6"/>
        <v>0</v>
      </c>
      <c r="L67" s="90">
        <f t="shared" si="6"/>
        <v>0</v>
      </c>
      <c r="M67" s="356">
        <f t="shared" si="6"/>
        <v>0</v>
      </c>
      <c r="N67" s="90">
        <f t="shared" si="6"/>
        <v>0</v>
      </c>
      <c r="O67" s="90">
        <f t="shared" si="6"/>
        <v>0</v>
      </c>
      <c r="P67" s="91">
        <f t="shared" si="6"/>
        <v>0</v>
      </c>
      <c r="Q67" s="90"/>
      <c r="R67" s="356">
        <f t="shared" si="6"/>
        <v>0</v>
      </c>
      <c r="S67" s="90">
        <f t="shared" si="6"/>
        <v>0</v>
      </c>
    </row>
    <row r="68" spans="1:19">
      <c r="A68" s="39" t="s">
        <v>89</v>
      </c>
      <c r="B68" s="89"/>
      <c r="C68" s="135"/>
      <c r="D68" s="89"/>
      <c r="E68" s="127"/>
      <c r="F68" s="127">
        <f>+CMT!G32+CMT!G33</f>
        <v>250773.98388888891</v>
      </c>
      <c r="G68" s="127"/>
      <c r="H68" s="353"/>
      <c r="I68" s="89">
        <v>185000</v>
      </c>
      <c r="J68" s="127"/>
      <c r="K68" s="127"/>
      <c r="L68" s="88"/>
      <c r="M68" s="360"/>
      <c r="N68" s="88"/>
      <c r="O68" s="88"/>
      <c r="P68" s="89"/>
      <c r="Q68" s="88"/>
      <c r="R68" s="360"/>
      <c r="S68" s="88"/>
    </row>
    <row r="69" spans="1:19">
      <c r="A69" s="39" t="s">
        <v>295</v>
      </c>
      <c r="B69" s="89"/>
      <c r="C69" s="135"/>
      <c r="D69" s="89"/>
      <c r="E69" s="127"/>
      <c r="F69" s="127"/>
      <c r="G69" s="127"/>
      <c r="H69" s="353"/>
      <c r="I69" s="89"/>
      <c r="J69" s="127"/>
      <c r="K69" s="127"/>
      <c r="L69" s="88"/>
      <c r="M69" s="360"/>
      <c r="N69" s="88"/>
      <c r="O69" s="88"/>
      <c r="P69" s="89"/>
      <c r="Q69" s="88"/>
      <c r="R69" s="360"/>
      <c r="S69" s="88"/>
    </row>
    <row r="70" spans="1:19">
      <c r="A70" s="39" t="s">
        <v>204</v>
      </c>
      <c r="B70" s="89"/>
      <c r="C70" s="135"/>
      <c r="D70" s="89"/>
      <c r="E70" s="127"/>
      <c r="F70" s="127"/>
      <c r="G70" s="127">
        <f>+FED!C10</f>
        <v>0</v>
      </c>
      <c r="H70" s="353"/>
      <c r="I70" s="89"/>
      <c r="J70" s="127"/>
      <c r="K70" s="127"/>
      <c r="L70" s="88">
        <f>FED!C7*1.19</f>
        <v>0</v>
      </c>
      <c r="M70" s="360"/>
      <c r="N70" s="88"/>
      <c r="O70" s="88"/>
      <c r="P70" s="89"/>
      <c r="Q70" s="88"/>
      <c r="R70" s="360"/>
      <c r="S70" s="88"/>
    </row>
    <row r="71" spans="1:19" s="34" customFormat="1">
      <c r="A71" s="41" t="s">
        <v>1423</v>
      </c>
      <c r="B71" s="128">
        <f t="shared" ref="B71:Q71" si="7">B3+B4+B9-B32</f>
        <v>11594.144</v>
      </c>
      <c r="C71" s="130">
        <f t="shared" si="7"/>
        <v>-1027636.8190000001</v>
      </c>
      <c r="D71" s="128">
        <f t="shared" si="7"/>
        <v>953.18700000000001</v>
      </c>
      <c r="E71" s="130">
        <f>E3+E4+E9-E32</f>
        <v>10884.425000000001</v>
      </c>
      <c r="F71" s="130">
        <f t="shared" si="7"/>
        <v>-2629598.2748888889</v>
      </c>
      <c r="G71" s="130" t="e">
        <f t="shared" si="7"/>
        <v>#REF!</v>
      </c>
      <c r="H71" s="342">
        <f t="shared" si="7"/>
        <v>146.86000000000001</v>
      </c>
      <c r="I71" s="128">
        <f t="shared" si="7"/>
        <v>-548272.56400000001</v>
      </c>
      <c r="J71" s="130">
        <f t="shared" si="7"/>
        <v>1919.0789999999997</v>
      </c>
      <c r="K71" s="130">
        <f t="shared" si="7"/>
        <v>3361.5</v>
      </c>
      <c r="L71" s="129">
        <f t="shared" si="7"/>
        <v>2014.4900000000052</v>
      </c>
      <c r="M71" s="361">
        <f t="shared" si="7"/>
        <v>201567.905</v>
      </c>
      <c r="N71" s="129">
        <f t="shared" si="7"/>
        <v>-3992.308</v>
      </c>
      <c r="O71" s="129">
        <f t="shared" si="7"/>
        <v>22812.252</v>
      </c>
      <c r="P71" s="128">
        <f t="shared" si="7"/>
        <v>-152358.52900000001</v>
      </c>
      <c r="Q71" s="129">
        <f t="shared" si="7"/>
        <v>27478.32</v>
      </c>
      <c r="R71" s="361">
        <f>R3+R4+R9-R32</f>
        <v>3240.9740000000002</v>
      </c>
      <c r="S71" s="129">
        <f>S3+S4+S9-S32</f>
        <v>-1222.1300000000001</v>
      </c>
    </row>
    <row r="72" spans="1:19" s="34" customFormat="1" ht="15.75" thickBot="1">
      <c r="A72" s="42" t="s">
        <v>67</v>
      </c>
      <c r="B72" s="87">
        <v>0</v>
      </c>
      <c r="C72" s="131">
        <v>-200000</v>
      </c>
      <c r="D72" s="87">
        <v>0</v>
      </c>
      <c r="E72" s="131">
        <v>0</v>
      </c>
      <c r="F72" s="131">
        <v>-2000000</v>
      </c>
      <c r="G72" s="131">
        <v>0</v>
      </c>
      <c r="H72" s="354">
        <v>0</v>
      </c>
      <c r="I72" s="87">
        <v>-420000</v>
      </c>
      <c r="J72" s="131">
        <v>0</v>
      </c>
      <c r="K72" s="131">
        <v>0</v>
      </c>
      <c r="L72" s="86">
        <v>0</v>
      </c>
      <c r="M72" s="362">
        <v>0</v>
      </c>
      <c r="N72" s="86">
        <v>0</v>
      </c>
      <c r="O72" s="86">
        <v>0</v>
      </c>
      <c r="P72" s="87">
        <v>0</v>
      </c>
      <c r="Q72" s="86">
        <v>0</v>
      </c>
      <c r="R72" s="362">
        <v>0</v>
      </c>
      <c r="S72" s="86">
        <v>0</v>
      </c>
    </row>
    <row r="73" spans="1:19">
      <c r="A73" s="1"/>
    </row>
    <row r="74" spans="1:19" s="273" customFormat="1" ht="15.75">
      <c r="B74" s="274"/>
      <c r="C74" s="274">
        <f>C72-C71</f>
        <v>827636.81900000013</v>
      </c>
      <c r="D74" s="274"/>
      <c r="E74" s="274"/>
      <c r="F74" s="274">
        <f>F72-F71</f>
        <v>629598.27488888893</v>
      </c>
      <c r="G74" s="274"/>
      <c r="H74" s="274"/>
      <c r="I74" s="274">
        <f>I72-I71</f>
        <v>128272.56400000001</v>
      </c>
      <c r="J74" s="274"/>
      <c r="K74" s="274"/>
      <c r="L74" s="274"/>
    </row>
    <row r="75" spans="1:19" s="273" customFormat="1" ht="15.75">
      <c r="B75" s="274"/>
      <c r="C75" s="274"/>
      <c r="D75" s="274"/>
      <c r="E75" s="274"/>
      <c r="F75" s="274"/>
      <c r="G75" s="274"/>
      <c r="H75" s="274"/>
      <c r="I75" s="274"/>
      <c r="J75" s="274"/>
      <c r="K75" s="274"/>
      <c r="L75" s="274"/>
    </row>
    <row r="76" spans="1:19" s="276" customFormat="1" ht="15.75">
      <c r="A76" s="4"/>
      <c r="B76" s="274"/>
      <c r="C76" s="277"/>
      <c r="D76" s="277"/>
      <c r="E76" s="277"/>
      <c r="F76" s="277"/>
      <c r="G76" s="275"/>
      <c r="H76" s="275"/>
      <c r="I76" s="275"/>
      <c r="J76" s="275"/>
      <c r="K76" s="275"/>
      <c r="L76" s="275"/>
    </row>
    <row r="77" spans="1:19">
      <c r="A77" s="1"/>
    </row>
  </sheetData>
  <mergeCells count="4">
    <mergeCell ref="B1:C1"/>
    <mergeCell ref="D1:H1"/>
    <mergeCell ref="I1:L1"/>
    <mergeCell ref="P1:Q1"/>
  </mergeCells>
  <pageMargins left="0" right="0" top="0" bottom="0" header="0" footer="0"/>
  <pageSetup paperSize="9" scale="55" orientation="landscape" horizontalDpi="180" verticalDpi="180" r:id="rId1"/>
  <ignoredErrors>
    <ignoredError sqref="E48:F48 D9 J48 G48 Q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81"/>
  <sheetViews>
    <sheetView topLeftCell="A19" zoomScale="90" zoomScaleNormal="90" workbookViewId="0">
      <selection activeCell="I61" sqref="I61"/>
    </sheetView>
  </sheetViews>
  <sheetFormatPr baseColWidth="10" defaultRowHeight="12.75"/>
  <cols>
    <col min="1" max="1" width="17" style="44" bestFit="1" customWidth="1"/>
    <col min="2" max="2" width="10.28515625" style="44" bestFit="1" customWidth="1"/>
    <col min="3" max="3" width="13" style="44" bestFit="1" customWidth="1"/>
    <col min="4" max="4" width="12" style="295" bestFit="1" customWidth="1"/>
    <col min="5" max="5" width="15.42578125" style="44" bestFit="1" customWidth="1"/>
    <col min="6" max="6" width="11.42578125" style="44" bestFit="1" customWidth="1"/>
    <col min="7" max="7" width="6.140625" style="44" bestFit="1" customWidth="1"/>
    <col min="8" max="12" width="11.42578125" style="44"/>
    <col min="13" max="13" width="11" style="44" bestFit="1" customWidth="1"/>
    <col min="14" max="16384" width="11.42578125" style="44"/>
  </cols>
  <sheetData>
    <row r="1" spans="1:7">
      <c r="A1" s="43">
        <f ca="1">TODAY()</f>
        <v>43350</v>
      </c>
    </row>
    <row r="2" spans="1:7">
      <c r="A2" s="44" t="s">
        <v>68</v>
      </c>
      <c r="C2" s="43">
        <v>43100</v>
      </c>
      <c r="D2" s="295">
        <v>2.9478</v>
      </c>
    </row>
    <row r="3" spans="1:7">
      <c r="A3" s="44" t="s">
        <v>69</v>
      </c>
      <c r="C3" s="43">
        <v>43100</v>
      </c>
      <c r="D3" s="295">
        <v>2.4839000000000002</v>
      </c>
    </row>
    <row r="4" spans="1:7">
      <c r="A4" s="44" t="s">
        <v>70</v>
      </c>
      <c r="C4" s="43">
        <v>43100</v>
      </c>
      <c r="D4" s="295">
        <v>3.3113000000000001</v>
      </c>
    </row>
    <row r="5" spans="1:7" ht="13.5" thickBot="1">
      <c r="A5" s="44" t="s">
        <v>209</v>
      </c>
      <c r="C5" s="43">
        <v>43100</v>
      </c>
      <c r="D5" s="295">
        <v>0.38400000000000001</v>
      </c>
    </row>
    <row r="6" spans="1:7" ht="13.5" thickBot="1">
      <c r="A6" s="866" t="s">
        <v>71</v>
      </c>
      <c r="B6" s="867"/>
      <c r="C6" s="867"/>
      <c r="D6" s="867"/>
      <c r="E6" s="867"/>
      <c r="F6" s="868"/>
    </row>
    <row r="7" spans="1:7" ht="13.5" thickBot="1">
      <c r="A7" s="551" t="s">
        <v>72</v>
      </c>
      <c r="B7" s="552" t="s">
        <v>73</v>
      </c>
      <c r="C7" s="552" t="s">
        <v>74</v>
      </c>
      <c r="D7" s="296" t="s">
        <v>75</v>
      </c>
      <c r="E7" s="552" t="s">
        <v>76</v>
      </c>
      <c r="F7" s="553" t="s">
        <v>13</v>
      </c>
    </row>
    <row r="8" spans="1:7" ht="13.5" thickBot="1">
      <c r="A8" s="443" t="s">
        <v>1425</v>
      </c>
      <c r="B8" s="444" t="s">
        <v>47</v>
      </c>
      <c r="C8" s="556">
        <v>45000</v>
      </c>
      <c r="D8" s="446">
        <f>+C8*D2</f>
        <v>132651</v>
      </c>
      <c r="E8" s="447"/>
      <c r="F8" s="448" t="s">
        <v>1426</v>
      </c>
    </row>
    <row r="9" spans="1:7" ht="13.5" thickBot="1">
      <c r="A9" s="855" t="s">
        <v>77</v>
      </c>
      <c r="B9" s="856"/>
      <c r="C9" s="323">
        <f>SUM(C8:C8)</f>
        <v>45000</v>
      </c>
    </row>
    <row r="10" spans="1:7" s="293" customFormat="1" ht="13.5" thickBot="1">
      <c r="A10" s="302"/>
      <c r="B10" s="302"/>
      <c r="C10" s="303"/>
      <c r="D10" s="304"/>
    </row>
    <row r="11" spans="1:7" ht="13.5" thickBot="1">
      <c r="A11" s="443"/>
      <c r="B11" s="444"/>
      <c r="C11" s="445"/>
      <c r="D11" s="446"/>
      <c r="E11" s="447"/>
      <c r="F11" s="448"/>
      <c r="G11" s="305"/>
    </row>
    <row r="12" spans="1:7" ht="13.5" thickBot="1">
      <c r="A12" s="866" t="s">
        <v>77</v>
      </c>
      <c r="B12" s="867"/>
      <c r="C12" s="159">
        <f>SUM(C11:C11)</f>
        <v>0</v>
      </c>
      <c r="D12" s="298"/>
      <c r="E12" s="45"/>
      <c r="F12" s="45"/>
    </row>
    <row r="13" spans="1:7" ht="13.5" thickBot="1"/>
    <row r="14" spans="1:7" ht="13.5" thickBot="1">
      <c r="A14" s="443"/>
      <c r="B14" s="444"/>
      <c r="C14" s="445"/>
      <c r="D14" s="446"/>
      <c r="E14" s="447"/>
      <c r="F14" s="448"/>
      <c r="G14" s="305"/>
    </row>
    <row r="15" spans="1:7" ht="13.5" thickBot="1">
      <c r="A15" s="866" t="s">
        <v>77</v>
      </c>
      <c r="B15" s="867"/>
      <c r="C15" s="159">
        <f>SUM(C14:C14)</f>
        <v>0</v>
      </c>
      <c r="D15" s="298"/>
      <c r="E15" s="45"/>
      <c r="F15" s="45"/>
    </row>
    <row r="16" spans="1:7" ht="13.5" thickBot="1"/>
    <row r="17" spans="1:15" ht="13.5" thickBot="1">
      <c r="A17" s="443"/>
      <c r="B17" s="444"/>
      <c r="C17" s="445"/>
      <c r="D17" s="446"/>
      <c r="E17" s="447"/>
      <c r="F17" s="448"/>
    </row>
    <row r="18" spans="1:15" ht="13.5" thickBot="1">
      <c r="A18" s="866" t="s">
        <v>77</v>
      </c>
      <c r="B18" s="867"/>
      <c r="C18" s="159">
        <f>SUM(C17:C17)</f>
        <v>0</v>
      </c>
      <c r="D18" s="298"/>
      <c r="E18" s="45"/>
      <c r="F18" s="45"/>
      <c r="O18" s="286"/>
    </row>
    <row r="19" spans="1:15" ht="13.5" thickBot="1"/>
    <row r="20" spans="1:15" ht="13.5" thickBot="1">
      <c r="A20" s="866" t="s">
        <v>78</v>
      </c>
      <c r="B20" s="867"/>
      <c r="C20" s="867"/>
      <c r="D20" s="867"/>
      <c r="E20" s="867"/>
      <c r="F20" s="868"/>
    </row>
    <row r="21" spans="1:15" ht="13.5" thickBot="1">
      <c r="A21" s="551" t="s">
        <v>72</v>
      </c>
      <c r="B21" s="552" t="s">
        <v>73</v>
      </c>
      <c r="C21" s="552" t="s">
        <v>74</v>
      </c>
      <c r="D21" s="296" t="s">
        <v>75</v>
      </c>
      <c r="E21" s="552" t="s">
        <v>76</v>
      </c>
      <c r="F21" s="553" t="s">
        <v>13</v>
      </c>
    </row>
    <row r="22" spans="1:15">
      <c r="A22" s="486" t="s">
        <v>276</v>
      </c>
      <c r="B22" s="557" t="s">
        <v>16</v>
      </c>
      <c r="C22" s="779">
        <v>14035.78</v>
      </c>
      <c r="D22" s="487">
        <f t="shared" ref="D22:D25" si="0">+C22*$D$2</f>
        <v>41374.672284</v>
      </c>
      <c r="E22" s="558">
        <v>43172</v>
      </c>
      <c r="F22" s="559">
        <f t="shared" ref="F22:F32" si="1">E22+60</f>
        <v>43232</v>
      </c>
      <c r="G22" s="293"/>
    </row>
    <row r="23" spans="1:15">
      <c r="A23" s="486" t="s">
        <v>277</v>
      </c>
      <c r="B23" s="557" t="s">
        <v>16</v>
      </c>
      <c r="C23" s="779">
        <v>11086.67</v>
      </c>
      <c r="D23" s="487">
        <f t="shared" si="0"/>
        <v>32681.285825999999</v>
      </c>
      <c r="E23" s="558">
        <v>43173</v>
      </c>
      <c r="F23" s="559">
        <f t="shared" si="1"/>
        <v>43233</v>
      </c>
      <c r="G23" s="293"/>
    </row>
    <row r="24" spans="1:15">
      <c r="A24" s="486" t="s">
        <v>278</v>
      </c>
      <c r="B24" s="557" t="s">
        <v>16</v>
      </c>
      <c r="C24" s="779">
        <v>8746.25</v>
      </c>
      <c r="D24" s="487">
        <f t="shared" si="0"/>
        <v>25782.195749999999</v>
      </c>
      <c r="E24" s="558">
        <v>43175</v>
      </c>
      <c r="F24" s="559">
        <f t="shared" si="1"/>
        <v>43235</v>
      </c>
      <c r="G24" s="293"/>
    </row>
    <row r="25" spans="1:15">
      <c r="A25" s="486" t="s">
        <v>279</v>
      </c>
      <c r="B25" s="557" t="s">
        <v>16</v>
      </c>
      <c r="C25" s="779">
        <v>14020.07</v>
      </c>
      <c r="D25" s="487">
        <f t="shared" si="0"/>
        <v>41328.362346000002</v>
      </c>
      <c r="E25" s="558">
        <v>43189</v>
      </c>
      <c r="F25" s="559">
        <f t="shared" si="1"/>
        <v>43249</v>
      </c>
      <c r="G25" s="293"/>
      <c r="I25" s="70"/>
      <c r="J25" s="70"/>
      <c r="K25" s="70"/>
      <c r="L25" s="70"/>
      <c r="M25" s="70"/>
      <c r="N25" s="70"/>
    </row>
    <row r="26" spans="1:15">
      <c r="A26" s="486" t="s">
        <v>289</v>
      </c>
      <c r="B26" s="557" t="s">
        <v>16</v>
      </c>
      <c r="C26" s="779">
        <v>9711.74</v>
      </c>
      <c r="D26" s="487">
        <f>+C26*$D$2</f>
        <v>28628.267172</v>
      </c>
      <c r="E26" s="558">
        <v>43203</v>
      </c>
      <c r="F26" s="559">
        <f t="shared" si="1"/>
        <v>43263</v>
      </c>
      <c r="G26" s="293"/>
      <c r="I26" s="70"/>
      <c r="J26" s="70"/>
      <c r="K26" s="70"/>
      <c r="L26" s="70"/>
      <c r="M26" s="70"/>
      <c r="N26" s="70"/>
    </row>
    <row r="27" spans="1:15">
      <c r="A27" s="316" t="s">
        <v>290</v>
      </c>
      <c r="B27" s="208" t="s">
        <v>16</v>
      </c>
      <c r="C27" s="320">
        <v>15058.56</v>
      </c>
      <c r="D27" s="317">
        <f>+C27*$D$2</f>
        <v>44389.623167999998</v>
      </c>
      <c r="E27" s="319">
        <v>43208</v>
      </c>
      <c r="F27" s="736">
        <f t="shared" si="1"/>
        <v>43268</v>
      </c>
      <c r="G27" s="293"/>
    </row>
    <row r="28" spans="1:15">
      <c r="A28" s="316" t="s">
        <v>291</v>
      </c>
      <c r="B28" s="208" t="s">
        <v>16</v>
      </c>
      <c r="C28" s="320">
        <v>13757.02</v>
      </c>
      <c r="D28" s="317">
        <f>+C28*$D$2</f>
        <v>40552.943555999998</v>
      </c>
      <c r="E28" s="319">
        <v>43210</v>
      </c>
      <c r="F28" s="736">
        <f t="shared" si="1"/>
        <v>43270</v>
      </c>
      <c r="G28" s="293"/>
    </row>
    <row r="29" spans="1:15">
      <c r="A29" s="316" t="s">
        <v>299</v>
      </c>
      <c r="B29" s="208" t="s">
        <v>16</v>
      </c>
      <c r="C29" s="320">
        <v>39770.04</v>
      </c>
      <c r="D29" s="317">
        <f>+C29*$D$2</f>
        <v>117234.123912</v>
      </c>
      <c r="E29" s="319">
        <v>43251</v>
      </c>
      <c r="F29" s="736">
        <f t="shared" si="1"/>
        <v>43311</v>
      </c>
      <c r="G29" s="293"/>
      <c r="I29" s="70"/>
      <c r="J29" s="70"/>
      <c r="K29" s="70"/>
      <c r="L29" s="70"/>
      <c r="M29" s="70"/>
      <c r="N29" s="70"/>
    </row>
    <row r="30" spans="1:15">
      <c r="A30" s="314" t="s">
        <v>1427</v>
      </c>
      <c r="B30" s="373" t="s">
        <v>16</v>
      </c>
      <c r="C30" s="374">
        <v>1516.79</v>
      </c>
      <c r="D30" s="315">
        <f t="shared" ref="D30:D32" si="2">+C30*$D$2</f>
        <v>4471.1935619999995</v>
      </c>
      <c r="E30" s="372">
        <v>43294</v>
      </c>
      <c r="F30" s="560">
        <f t="shared" si="1"/>
        <v>43354</v>
      </c>
      <c r="G30" s="293"/>
      <c r="I30" s="70"/>
      <c r="J30" s="70"/>
      <c r="K30" s="70"/>
      <c r="L30" s="70"/>
      <c r="M30" s="70"/>
      <c r="N30" s="70"/>
    </row>
    <row r="31" spans="1:15">
      <c r="A31" s="314" t="s">
        <v>1428</v>
      </c>
      <c r="B31" s="373" t="s">
        <v>16</v>
      </c>
      <c r="C31" s="374">
        <v>27604.13</v>
      </c>
      <c r="D31" s="315">
        <f t="shared" si="2"/>
        <v>81371.454414000007</v>
      </c>
      <c r="E31" s="372">
        <v>43301</v>
      </c>
      <c r="F31" s="560">
        <f t="shared" si="1"/>
        <v>43361</v>
      </c>
      <c r="G31" s="293"/>
      <c r="I31" s="70"/>
      <c r="J31" s="70"/>
      <c r="K31" s="70"/>
      <c r="L31" s="70"/>
      <c r="M31" s="70"/>
      <c r="N31" s="70"/>
    </row>
    <row r="32" spans="1:15">
      <c r="A32" s="314" t="s">
        <v>1429</v>
      </c>
      <c r="B32" s="373" t="s">
        <v>16</v>
      </c>
      <c r="C32" s="374">
        <v>51126.33</v>
      </c>
      <c r="D32" s="315">
        <f t="shared" si="2"/>
        <v>150710.19557400001</v>
      </c>
      <c r="E32" s="372">
        <v>43307</v>
      </c>
      <c r="F32" s="560">
        <f t="shared" si="1"/>
        <v>43367</v>
      </c>
      <c r="G32" s="293"/>
      <c r="I32" s="70"/>
      <c r="J32" s="70"/>
      <c r="K32" s="70"/>
      <c r="L32" s="70"/>
      <c r="M32" s="70"/>
      <c r="N32" s="70"/>
    </row>
    <row r="33" spans="1:14" ht="13.5" thickBot="1">
      <c r="A33" s="194"/>
      <c r="B33" s="282"/>
      <c r="C33" s="195"/>
      <c r="D33" s="299"/>
      <c r="E33" s="514"/>
      <c r="F33" s="515"/>
      <c r="L33" s="643"/>
    </row>
    <row r="34" spans="1:14" ht="13.5" thickBot="1">
      <c r="A34" s="866" t="s">
        <v>77</v>
      </c>
      <c r="B34" s="867"/>
      <c r="C34" s="159">
        <f>SUM(C22:C33)</f>
        <v>206433.38</v>
      </c>
      <c r="D34" s="298"/>
      <c r="E34" s="45"/>
      <c r="F34" s="45"/>
    </row>
    <row r="35" spans="1:14" s="293" customFormat="1" ht="13.5" thickBot="1">
      <c r="A35" s="302"/>
      <c r="B35" s="302"/>
      <c r="C35" s="303"/>
      <c r="D35" s="300"/>
      <c r="E35" s="301"/>
      <c r="F35" s="301"/>
    </row>
    <row r="36" spans="1:14" s="70" customFormat="1" ht="13.5" thickBot="1">
      <c r="A36" s="780" t="s">
        <v>238</v>
      </c>
      <c r="B36" s="781" t="s">
        <v>16</v>
      </c>
      <c r="C36" s="782">
        <v>47355.28</v>
      </c>
      <c r="D36" s="783">
        <f>+C36*D2</f>
        <v>139593.89438399998</v>
      </c>
      <c r="E36" s="784">
        <v>43250</v>
      </c>
      <c r="F36" s="785">
        <f>+E36+90</f>
        <v>43340</v>
      </c>
      <c r="I36" s="44"/>
      <c r="J36" s="44"/>
      <c r="K36" s="44"/>
      <c r="L36" s="44"/>
      <c r="M36" s="44"/>
      <c r="N36" s="44"/>
    </row>
    <row r="37" spans="1:14" ht="13.5" thickBot="1">
      <c r="A37" s="866" t="s">
        <v>77</v>
      </c>
      <c r="B37" s="867"/>
      <c r="C37" s="159">
        <f>SUM(C36:C36)</f>
        <v>47355.28</v>
      </c>
      <c r="D37" s="298"/>
      <c r="E37" s="45"/>
      <c r="F37" s="45"/>
    </row>
    <row r="38" spans="1:14" s="293" customFormat="1" ht="13.5" thickBot="1">
      <c r="A38" s="302"/>
      <c r="B38" s="302"/>
      <c r="C38" s="303"/>
      <c r="D38" s="300"/>
      <c r="E38" s="301"/>
      <c r="F38" s="301"/>
    </row>
    <row r="39" spans="1:14" s="70" customFormat="1">
      <c r="A39" s="798"/>
      <c r="B39" s="799"/>
      <c r="C39" s="800"/>
      <c r="D39" s="801"/>
      <c r="E39" s="802"/>
      <c r="F39" s="803"/>
      <c r="I39" s="44"/>
      <c r="J39" s="44"/>
      <c r="K39" s="44"/>
      <c r="L39" s="44"/>
      <c r="M39" s="44"/>
      <c r="N39" s="44"/>
    </row>
    <row r="40" spans="1:14" s="70" customFormat="1" ht="13.5" thickBot="1">
      <c r="A40" s="804"/>
      <c r="B40" s="805"/>
      <c r="C40" s="806"/>
      <c r="D40" s="807"/>
      <c r="E40" s="808"/>
      <c r="F40" s="809"/>
      <c r="I40" s="44"/>
      <c r="J40" s="44"/>
      <c r="K40" s="44"/>
      <c r="L40" s="44"/>
      <c r="M40" s="44"/>
      <c r="N40" s="44"/>
    </row>
    <row r="41" spans="1:14" ht="13.5" thickBot="1">
      <c r="A41" s="866" t="s">
        <v>77</v>
      </c>
      <c r="B41" s="867"/>
      <c r="C41" s="159">
        <f>SUM(C39)</f>
        <v>0</v>
      </c>
      <c r="D41" s="298"/>
      <c r="E41" s="45"/>
      <c r="F41" s="45"/>
    </row>
    <row r="42" spans="1:14" s="293" customFormat="1" ht="13.5" thickBot="1">
      <c r="A42" s="302"/>
      <c r="B42" s="302"/>
      <c r="C42" s="303"/>
      <c r="D42" s="300"/>
      <c r="E42" s="301"/>
      <c r="F42" s="301"/>
    </row>
    <row r="43" spans="1:14" ht="13.5" thickBot="1">
      <c r="A43" s="667" t="s">
        <v>1430</v>
      </c>
      <c r="B43" s="668" t="s">
        <v>16</v>
      </c>
      <c r="C43" s="669">
        <v>5705.1</v>
      </c>
      <c r="D43" s="670">
        <f>+C43*D2</f>
        <v>16817.493780000001</v>
      </c>
      <c r="E43" s="671">
        <v>43278</v>
      </c>
      <c r="F43" s="672">
        <f>+E43+15</f>
        <v>43293</v>
      </c>
    </row>
    <row r="44" spans="1:14" ht="13.5" thickBot="1">
      <c r="A44" s="866" t="s">
        <v>77</v>
      </c>
      <c r="B44" s="867"/>
      <c r="C44" s="159">
        <f>SUM(C43:C43)</f>
        <v>5705.1</v>
      </c>
      <c r="D44" s="298"/>
      <c r="E44" s="45"/>
      <c r="F44" s="45"/>
      <c r="L44" s="644"/>
    </row>
    <row r="45" spans="1:14" s="293" customFormat="1" ht="13.5" thickBot="1">
      <c r="A45" s="663"/>
      <c r="B45" s="663"/>
      <c r="C45" s="664"/>
      <c r="D45" s="300"/>
      <c r="E45" s="301"/>
      <c r="F45" s="301"/>
      <c r="L45" s="665"/>
    </row>
    <row r="46" spans="1:14" ht="13.5" thickBot="1">
      <c r="A46" s="667"/>
      <c r="B46" s="668"/>
      <c r="C46" s="669"/>
      <c r="D46" s="670"/>
      <c r="E46" s="671"/>
      <c r="F46" s="672"/>
    </row>
    <row r="47" spans="1:14" ht="13.5" thickBot="1">
      <c r="A47" s="866" t="s">
        <v>77</v>
      </c>
      <c r="B47" s="867"/>
      <c r="C47" s="159">
        <f>SUM(C46:C46)</f>
        <v>0</v>
      </c>
      <c r="D47" s="298"/>
      <c r="E47" s="45"/>
      <c r="F47" s="45"/>
      <c r="L47" s="644"/>
    </row>
    <row r="48" spans="1:14" s="293" customFormat="1" ht="13.5" thickBot="1">
      <c r="A48" s="663"/>
      <c r="B48" s="663"/>
      <c r="C48" s="664"/>
      <c r="D48" s="300"/>
      <c r="E48" s="301"/>
      <c r="F48" s="301"/>
      <c r="L48" s="665"/>
    </row>
    <row r="49" spans="1:10" ht="13.5" thickBot="1">
      <c r="A49" s="443"/>
      <c r="B49" s="444"/>
      <c r="C49" s="445"/>
      <c r="D49" s="446"/>
      <c r="E49" s="447"/>
      <c r="F49" s="448"/>
    </row>
    <row r="50" spans="1:10" ht="13.5" thickBot="1">
      <c r="A50" s="866" t="s">
        <v>77</v>
      </c>
      <c r="B50" s="867"/>
      <c r="C50" s="159">
        <f>SUM(C49:C49)</f>
        <v>0</v>
      </c>
      <c r="D50" s="298"/>
      <c r="E50" s="45"/>
      <c r="F50" s="45"/>
    </row>
    <row r="51" spans="1:10" s="293" customFormat="1" ht="13.5" thickBot="1">
      <c r="A51" s="302"/>
      <c r="B51" s="302"/>
      <c r="C51" s="303"/>
      <c r="D51" s="300"/>
      <c r="E51" s="301"/>
      <c r="F51" s="301"/>
    </row>
    <row r="52" spans="1:10" ht="13.5" thickBot="1">
      <c r="A52" s="443"/>
      <c r="B52" s="444"/>
      <c r="C52" s="445"/>
      <c r="D52" s="445"/>
      <c r="E52" s="444"/>
      <c r="F52" s="673"/>
    </row>
    <row r="53" spans="1:10" ht="13.5" thickBot="1">
      <c r="A53" s="855" t="s">
        <v>77</v>
      </c>
      <c r="B53" s="856"/>
      <c r="C53" s="323">
        <f>SUM(C52:C52)</f>
        <v>0</v>
      </c>
    </row>
    <row r="54" spans="1:10" s="293" customFormat="1" ht="13.5" thickBot="1">
      <c r="D54" s="304"/>
    </row>
    <row r="55" spans="1:10" ht="13.5" thickBot="1">
      <c r="A55" s="810"/>
      <c r="B55" s="811"/>
      <c r="C55" s="812"/>
      <c r="D55" s="812"/>
      <c r="E55" s="811"/>
      <c r="F55" s="813"/>
    </row>
    <row r="56" spans="1:10" ht="13.5" thickBot="1">
      <c r="A56" s="855" t="s">
        <v>77</v>
      </c>
      <c r="B56" s="856"/>
      <c r="C56" s="323">
        <f>SUM(C55:C55)</f>
        <v>0</v>
      </c>
    </row>
    <row r="57" spans="1:10" s="293" customFormat="1" ht="13.5" thickBot="1">
      <c r="D57" s="304"/>
    </row>
    <row r="58" spans="1:10">
      <c r="A58" s="366" t="s">
        <v>208</v>
      </c>
      <c r="B58" s="51" t="s">
        <v>210</v>
      </c>
      <c r="C58" s="367">
        <v>9851000</v>
      </c>
      <c r="D58" s="368">
        <f>+C58*D5</f>
        <v>3782784</v>
      </c>
      <c r="E58" s="397">
        <v>0.9</v>
      </c>
      <c r="F58" s="399">
        <v>43054</v>
      </c>
    </row>
    <row r="59" spans="1:10">
      <c r="A59" s="288"/>
      <c r="B59" s="307"/>
      <c r="C59" s="308"/>
      <c r="D59" s="297"/>
      <c r="E59" s="398">
        <v>0.1</v>
      </c>
      <c r="F59" s="400">
        <v>43221</v>
      </c>
    </row>
    <row r="60" spans="1:10" ht="13.5" thickBot="1">
      <c r="A60" s="194"/>
      <c r="B60" s="282"/>
      <c r="C60" s="195"/>
      <c r="D60" s="299"/>
      <c r="E60" s="282"/>
      <c r="F60" s="294"/>
    </row>
    <row r="61" spans="1:10" ht="13.5" thickBot="1">
      <c r="A61" s="855" t="s">
        <v>77</v>
      </c>
      <c r="B61" s="856"/>
      <c r="C61" s="323">
        <f>SUM(C58:C60)</f>
        <v>9851000</v>
      </c>
      <c r="I61" s="286"/>
    </row>
    <row r="62" spans="1:10" s="293" customFormat="1" ht="13.5" thickBot="1">
      <c r="D62" s="304"/>
    </row>
    <row r="63" spans="1:10">
      <c r="A63" s="857" t="s">
        <v>190</v>
      </c>
      <c r="B63" s="860" t="s">
        <v>16</v>
      </c>
      <c r="C63" s="863">
        <v>335000</v>
      </c>
      <c r="D63" s="368"/>
      <c r="E63" s="513">
        <v>42898</v>
      </c>
      <c r="F63" s="380">
        <v>71000</v>
      </c>
      <c r="J63" s="286"/>
    </row>
    <row r="64" spans="1:10">
      <c r="A64" s="858"/>
      <c r="B64" s="861"/>
      <c r="C64" s="864"/>
      <c r="D64" s="297"/>
      <c r="E64" s="631">
        <v>42927</v>
      </c>
      <c r="F64" s="381">
        <v>40000</v>
      </c>
    </row>
    <row r="65" spans="1:10">
      <c r="A65" s="858"/>
      <c r="B65" s="861"/>
      <c r="C65" s="864"/>
      <c r="D65" s="297"/>
      <c r="E65" s="631">
        <v>43004</v>
      </c>
      <c r="F65" s="381">
        <v>15000</v>
      </c>
    </row>
    <row r="66" spans="1:10">
      <c r="A66" s="858"/>
      <c r="B66" s="861"/>
      <c r="C66" s="864"/>
      <c r="D66" s="297"/>
      <c r="E66" s="631">
        <v>43006</v>
      </c>
      <c r="F66" s="381">
        <v>16000</v>
      </c>
    </row>
    <row r="67" spans="1:10">
      <c r="A67" s="858"/>
      <c r="B67" s="861"/>
      <c r="C67" s="864"/>
      <c r="D67" s="297"/>
      <c r="E67" s="631">
        <v>43020</v>
      </c>
      <c r="F67" s="381">
        <v>25000</v>
      </c>
    </row>
    <row r="68" spans="1:10">
      <c r="A68" s="859"/>
      <c r="B68" s="862"/>
      <c r="C68" s="865"/>
      <c r="D68" s="297"/>
      <c r="E68" s="631">
        <v>43208</v>
      </c>
      <c r="F68" s="381">
        <v>45000</v>
      </c>
    </row>
    <row r="69" spans="1:10">
      <c r="A69" s="288" t="s">
        <v>190</v>
      </c>
      <c r="B69" s="307" t="s">
        <v>16</v>
      </c>
      <c r="C69" s="308">
        <f>65000+9000</f>
        <v>74000</v>
      </c>
      <c r="D69" s="297"/>
      <c r="E69" s="631">
        <v>43189</v>
      </c>
      <c r="F69" s="381">
        <v>59500</v>
      </c>
      <c r="J69" s="286"/>
    </row>
    <row r="70" spans="1:10">
      <c r="A70" s="288"/>
      <c r="B70" s="307"/>
      <c r="C70" s="308"/>
      <c r="D70" s="297"/>
      <c r="E70" s="631"/>
      <c r="F70" s="381"/>
    </row>
    <row r="71" spans="1:10" ht="13.5" thickBot="1">
      <c r="A71" s="194" t="s">
        <v>190</v>
      </c>
      <c r="B71" s="282" t="s">
        <v>16</v>
      </c>
      <c r="C71" s="195">
        <f>14477.06+837.73</f>
        <v>15314.789999999999</v>
      </c>
      <c r="D71" s="299"/>
      <c r="E71" s="514"/>
      <c r="F71" s="294"/>
      <c r="H71" s="286"/>
    </row>
    <row r="72" spans="1:10" ht="13.5" thickBot="1">
      <c r="A72" s="855" t="s">
        <v>77</v>
      </c>
      <c r="B72" s="856"/>
      <c r="C72" s="323">
        <f>SUM(C63:C71)</f>
        <v>424314.79</v>
      </c>
      <c r="H72" s="286"/>
    </row>
    <row r="73" spans="1:10" ht="13.5" thickBot="1">
      <c r="F73" s="286"/>
    </row>
    <row r="74" spans="1:10" ht="13.5" thickBot="1">
      <c r="A74" s="478" t="s">
        <v>294</v>
      </c>
      <c r="B74" s="479" t="s">
        <v>16</v>
      </c>
      <c r="C74" s="480">
        <v>67500</v>
      </c>
      <c r="D74" s="481"/>
      <c r="E74" s="482">
        <v>43074</v>
      </c>
      <c r="F74" s="632">
        <v>12000</v>
      </c>
    </row>
    <row r="75" spans="1:10" ht="13.5" thickBot="1">
      <c r="A75" s="855" t="s">
        <v>77</v>
      </c>
      <c r="B75" s="856"/>
      <c r="C75" s="323">
        <f>SUM(C74:C74)</f>
        <v>67500</v>
      </c>
    </row>
    <row r="76" spans="1:10" ht="13.5" thickBot="1"/>
    <row r="77" spans="1:10" ht="13.5" thickBot="1">
      <c r="A77" s="478"/>
      <c r="B77" s="479"/>
      <c r="C77" s="480"/>
      <c r="D77" s="481"/>
      <c r="E77" s="482"/>
      <c r="F77" s="632"/>
    </row>
    <row r="78" spans="1:10" ht="13.5" thickBot="1">
      <c r="A78" s="855" t="s">
        <v>77</v>
      </c>
      <c r="B78" s="856"/>
      <c r="C78" s="323">
        <f>SUM(C77:C77)</f>
        <v>0</v>
      </c>
    </row>
    <row r="79" spans="1:10" ht="13.5" thickBot="1"/>
    <row r="80" spans="1:10" ht="13.5" thickBot="1">
      <c r="A80" s="478"/>
      <c r="B80" s="479"/>
      <c r="C80" s="480"/>
      <c r="D80" s="481"/>
      <c r="E80" s="482"/>
      <c r="F80" s="632"/>
    </row>
    <row r="81" spans="1:3" ht="13.5" thickBot="1">
      <c r="A81" s="855" t="s">
        <v>77</v>
      </c>
      <c r="B81" s="856"/>
      <c r="C81" s="323">
        <f>SUM(C80:C80)</f>
        <v>0</v>
      </c>
    </row>
  </sheetData>
  <mergeCells count="22">
    <mergeCell ref="C63:C68"/>
    <mergeCell ref="A6:F6"/>
    <mergeCell ref="A20:F20"/>
    <mergeCell ref="A34:B34"/>
    <mergeCell ref="A9:B9"/>
    <mergeCell ref="A56:B56"/>
    <mergeCell ref="A37:B37"/>
    <mergeCell ref="A50:B50"/>
    <mergeCell ref="A12:B12"/>
    <mergeCell ref="A15:B15"/>
    <mergeCell ref="A41:B41"/>
    <mergeCell ref="A44:B44"/>
    <mergeCell ref="A47:B47"/>
    <mergeCell ref="A18:B18"/>
    <mergeCell ref="A81:B81"/>
    <mergeCell ref="A53:B53"/>
    <mergeCell ref="A72:B72"/>
    <mergeCell ref="A61:B61"/>
    <mergeCell ref="A63:A68"/>
    <mergeCell ref="A78:B78"/>
    <mergeCell ref="A75:B75"/>
    <mergeCell ref="B63:B68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B1:N51"/>
  <sheetViews>
    <sheetView zoomScale="85" zoomScaleNormal="85" workbookViewId="0">
      <selection activeCell="Q34" sqref="Q34"/>
    </sheetView>
  </sheetViews>
  <sheetFormatPr baseColWidth="10" defaultColWidth="11.42578125" defaultRowHeight="12.75"/>
  <cols>
    <col min="1" max="1" width="11.42578125" style="562"/>
    <col min="2" max="3" width="11.140625" style="562" customWidth="1"/>
    <col min="4" max="6" width="11.140625" style="587" customWidth="1"/>
    <col min="7" max="9" width="11.140625" style="561" customWidth="1"/>
    <col min="10" max="10" width="14" style="562" bestFit="1" customWidth="1"/>
    <col min="11" max="11" width="11.85546875" style="562" bestFit="1" customWidth="1"/>
    <col min="12" max="12" width="3.85546875" style="562" bestFit="1" customWidth="1"/>
    <col min="13" max="13" width="13.28515625" style="562" bestFit="1" customWidth="1"/>
    <col min="14" max="14" width="9" style="562" bestFit="1" customWidth="1"/>
    <col min="15" max="16384" width="11.42578125" style="562"/>
  </cols>
  <sheetData>
    <row r="1" spans="2:13">
      <c r="B1" s="878" t="s">
        <v>112</v>
      </c>
      <c r="C1" s="878"/>
      <c r="D1" s="878"/>
      <c r="E1" s="878"/>
      <c r="F1" s="878"/>
    </row>
    <row r="2" spans="2:13">
      <c r="B2" s="878" t="s">
        <v>259</v>
      </c>
      <c r="C2" s="878"/>
      <c r="D2" s="878"/>
      <c r="E2" s="878"/>
      <c r="F2" s="878"/>
    </row>
    <row r="3" spans="2:13" ht="13.5" thickBot="1">
      <c r="B3" s="563"/>
      <c r="C3" s="563"/>
      <c r="D3" s="564"/>
      <c r="E3" s="564"/>
      <c r="F3" s="564"/>
    </row>
    <row r="4" spans="2:13" s="569" customFormat="1" ht="13.5" thickBot="1">
      <c r="B4" s="872" t="s">
        <v>110</v>
      </c>
      <c r="C4" s="873"/>
      <c r="D4" s="565" t="s">
        <v>10</v>
      </c>
      <c r="E4" s="566" t="s">
        <v>109</v>
      </c>
      <c r="F4" s="566" t="s">
        <v>108</v>
      </c>
      <c r="G4" s="566" t="s">
        <v>107</v>
      </c>
      <c r="H4" s="567" t="s">
        <v>106</v>
      </c>
      <c r="I4" s="568" t="s">
        <v>105</v>
      </c>
    </row>
    <row r="5" spans="2:13" ht="13.5" thickBot="1">
      <c r="B5" s="570" t="s">
        <v>102</v>
      </c>
      <c r="C5" s="571">
        <v>400000</v>
      </c>
      <c r="D5" s="572">
        <v>43131</v>
      </c>
      <c r="E5" s="573">
        <v>41341.207000000002</v>
      </c>
      <c r="F5" s="574">
        <v>1928.6020000000001</v>
      </c>
      <c r="G5" s="575">
        <f>SUM(E5:F5)</f>
        <v>43269.809000000001</v>
      </c>
      <c r="H5" s="576"/>
      <c r="I5" s="577"/>
    </row>
    <row r="6" spans="2:13" ht="14.25" thickBot="1">
      <c r="B6" s="874" t="s">
        <v>169</v>
      </c>
      <c r="C6" s="875"/>
      <c r="D6" s="876"/>
      <c r="E6" s="578">
        <f>SUM(E5:E5)</f>
        <v>41341.207000000002</v>
      </c>
      <c r="F6" s="578">
        <f>SUM(F5:F5)</f>
        <v>1928.6020000000001</v>
      </c>
      <c r="G6" s="578">
        <f>SUM(G5:G5)</f>
        <v>43269.809000000001</v>
      </c>
      <c r="H6" s="579"/>
      <c r="I6" s="580"/>
    </row>
    <row r="7" spans="2:13" s="569" customFormat="1" ht="13.5" thickBot="1">
      <c r="B7" s="581"/>
      <c r="C7" s="582"/>
      <c r="D7" s="583"/>
      <c r="E7" s="583"/>
      <c r="F7" s="583"/>
      <c r="G7" s="581"/>
      <c r="H7" s="581"/>
      <c r="I7" s="581"/>
    </row>
    <row r="8" spans="2:13" ht="14.25" thickBot="1">
      <c r="B8" s="869" t="s">
        <v>167</v>
      </c>
      <c r="C8" s="870"/>
      <c r="D8" s="871"/>
      <c r="E8" s="584">
        <f>E6</f>
        <v>41341.207000000002</v>
      </c>
      <c r="F8" s="584">
        <f>F6</f>
        <v>1928.6020000000001</v>
      </c>
      <c r="G8" s="584">
        <f>G6</f>
        <v>43269.809000000001</v>
      </c>
      <c r="H8" s="585"/>
      <c r="I8" s="586"/>
    </row>
    <row r="9" spans="2:13">
      <c r="G9" s="562"/>
      <c r="H9" s="562"/>
      <c r="I9" s="562"/>
      <c r="M9" s="588"/>
    </row>
    <row r="10" spans="2:13" s="588" customFormat="1">
      <c r="B10" s="878" t="s">
        <v>111</v>
      </c>
      <c r="C10" s="878"/>
      <c r="D10" s="878"/>
      <c r="E10" s="878"/>
      <c r="F10" s="878"/>
      <c r="G10" s="561"/>
      <c r="H10" s="561"/>
      <c r="I10" s="561"/>
    </row>
    <row r="11" spans="2:13" s="588" customFormat="1">
      <c r="B11" s="878" t="s">
        <v>259</v>
      </c>
      <c r="C11" s="878"/>
      <c r="D11" s="878"/>
      <c r="E11" s="878"/>
      <c r="F11" s="878"/>
      <c r="G11" s="561"/>
      <c r="H11" s="561"/>
      <c r="I11" s="561"/>
      <c r="K11" s="562"/>
      <c r="L11" s="562"/>
      <c r="M11" s="562"/>
    </row>
    <row r="12" spans="2:13" ht="13.5" thickBot="1"/>
    <row r="13" spans="2:13" s="588" customFormat="1" ht="13.5" thickBot="1">
      <c r="B13" s="872" t="s">
        <v>110</v>
      </c>
      <c r="C13" s="873"/>
      <c r="D13" s="565" t="s">
        <v>10</v>
      </c>
      <c r="E13" s="566" t="s">
        <v>109</v>
      </c>
      <c r="F13" s="566" t="s">
        <v>108</v>
      </c>
      <c r="G13" s="566" t="s">
        <v>107</v>
      </c>
      <c r="H13" s="567" t="s">
        <v>106</v>
      </c>
      <c r="I13" s="568" t="s">
        <v>105</v>
      </c>
      <c r="K13" s="562"/>
      <c r="L13" s="562"/>
      <c r="M13" s="562"/>
    </row>
    <row r="14" spans="2:13" s="588" customFormat="1">
      <c r="B14" s="589" t="s">
        <v>122</v>
      </c>
      <c r="C14" s="590">
        <v>1488000</v>
      </c>
      <c r="D14" s="591">
        <v>43126</v>
      </c>
      <c r="E14" s="592">
        <v>106285.71400000001</v>
      </c>
      <c r="F14" s="592">
        <v>9370.857</v>
      </c>
      <c r="G14" s="590">
        <f t="shared" ref="G14:G23" si="0">SUM(E14:F14)</f>
        <v>115656.57100000001</v>
      </c>
      <c r="H14" s="593"/>
      <c r="I14" s="594"/>
      <c r="K14" s="562"/>
      <c r="L14" s="562"/>
      <c r="M14" s="562"/>
    </row>
    <row r="15" spans="2:13" s="588" customFormat="1" ht="13.5" thickBot="1">
      <c r="B15" s="570" t="s">
        <v>101</v>
      </c>
      <c r="C15" s="575">
        <v>2418000</v>
      </c>
      <c r="D15" s="595">
        <v>43126</v>
      </c>
      <c r="E15" s="596">
        <v>172714.28599999999</v>
      </c>
      <c r="F15" s="596">
        <v>14565.571</v>
      </c>
      <c r="G15" s="575">
        <f t="shared" si="0"/>
        <v>187279.85699999999</v>
      </c>
      <c r="H15" s="597"/>
      <c r="I15" s="598"/>
      <c r="K15" s="562"/>
      <c r="L15" s="562"/>
      <c r="M15" s="562"/>
    </row>
    <row r="16" spans="2:13" ht="14.25" thickBot="1">
      <c r="B16" s="874" t="s">
        <v>261</v>
      </c>
      <c r="C16" s="875"/>
      <c r="D16" s="876"/>
      <c r="E16" s="599">
        <f>SUM(E14:E15)</f>
        <v>279000</v>
      </c>
      <c r="F16" s="600">
        <f>SUM(F14:F15)</f>
        <v>23936.428</v>
      </c>
      <c r="G16" s="601">
        <f t="shared" si="0"/>
        <v>302936.42800000001</v>
      </c>
      <c r="H16" s="602"/>
      <c r="I16" s="580"/>
    </row>
    <row r="17" spans="2:14">
      <c r="B17" s="589" t="s">
        <v>101</v>
      </c>
      <c r="C17" s="685">
        <v>500000</v>
      </c>
      <c r="D17" s="686">
        <v>43190</v>
      </c>
      <c r="E17" s="592">
        <v>41666.667000000001</v>
      </c>
      <c r="F17" s="592">
        <v>7631.25</v>
      </c>
      <c r="G17" s="590">
        <f t="shared" si="0"/>
        <v>49297.917000000001</v>
      </c>
      <c r="H17" s="687"/>
      <c r="I17" s="594"/>
      <c r="J17" s="608"/>
      <c r="K17" s="283"/>
      <c r="L17" s="609"/>
      <c r="M17" s="3"/>
      <c r="N17" s="3"/>
    </row>
    <row r="18" spans="2:14" s="588" customFormat="1">
      <c r="B18" s="498" t="s">
        <v>101</v>
      </c>
      <c r="C18" s="674">
        <v>1150000</v>
      </c>
      <c r="D18" s="675">
        <v>43190</v>
      </c>
      <c r="E18" s="676">
        <v>95833.333333333299</v>
      </c>
      <c r="F18" s="676">
        <v>17103.854166666701</v>
      </c>
      <c r="G18" s="677">
        <f t="shared" si="0"/>
        <v>112937.1875</v>
      </c>
      <c r="H18" s="678"/>
      <c r="I18" s="508"/>
      <c r="J18" s="608"/>
      <c r="K18" s="615"/>
      <c r="L18" s="616"/>
      <c r="M18" s="617"/>
      <c r="N18" s="3"/>
    </row>
    <row r="19" spans="2:14" s="588" customFormat="1">
      <c r="B19" s="498" t="s">
        <v>101</v>
      </c>
      <c r="C19" s="674">
        <v>1000000</v>
      </c>
      <c r="D19" s="675">
        <v>43190</v>
      </c>
      <c r="E19" s="676">
        <v>83333.333333333299</v>
      </c>
      <c r="F19" s="676">
        <v>14827.083333333299</v>
      </c>
      <c r="G19" s="677">
        <f t="shared" si="0"/>
        <v>98160.416666666599</v>
      </c>
      <c r="H19" s="678"/>
      <c r="I19" s="508"/>
      <c r="J19" s="608"/>
      <c r="K19" s="283"/>
      <c r="L19" s="609"/>
      <c r="M19" s="3"/>
      <c r="N19" s="3"/>
    </row>
    <row r="20" spans="2:14" s="588" customFormat="1">
      <c r="B20" s="688" t="s">
        <v>101</v>
      </c>
      <c r="C20" s="689">
        <v>1000000</v>
      </c>
      <c r="D20" s="690">
        <v>43190</v>
      </c>
      <c r="E20" s="691">
        <v>0</v>
      </c>
      <c r="F20" s="691">
        <v>1251.7860000000001</v>
      </c>
      <c r="G20" s="692">
        <f t="shared" si="0"/>
        <v>1251.7860000000001</v>
      </c>
      <c r="H20" s="693"/>
      <c r="I20" s="694"/>
      <c r="J20" s="608"/>
      <c r="K20" s="562"/>
      <c r="L20" s="562"/>
      <c r="M20" s="562"/>
    </row>
    <row r="21" spans="2:14">
      <c r="B21" s="498" t="s">
        <v>101</v>
      </c>
      <c r="C21" s="695">
        <v>350000</v>
      </c>
      <c r="D21" s="675">
        <v>43190</v>
      </c>
      <c r="E21" s="696">
        <v>29166.667000000001</v>
      </c>
      <c r="F21" s="696">
        <v>5245.625</v>
      </c>
      <c r="G21" s="677">
        <f t="shared" si="0"/>
        <v>34412.292000000001</v>
      </c>
      <c r="H21" s="697"/>
      <c r="I21" s="244"/>
      <c r="J21" s="608"/>
    </row>
    <row r="22" spans="2:14" ht="13.5" thickBot="1">
      <c r="B22" s="239" t="s">
        <v>101</v>
      </c>
      <c r="C22" s="695">
        <v>500000</v>
      </c>
      <c r="D22" s="698">
        <v>43190</v>
      </c>
      <c r="E22" s="696">
        <v>41666.667000000001</v>
      </c>
      <c r="F22" s="696">
        <v>7631.25</v>
      </c>
      <c r="G22" s="699">
        <f t="shared" si="0"/>
        <v>49297.917000000001</v>
      </c>
      <c r="H22" s="697"/>
      <c r="I22" s="244"/>
      <c r="J22" s="608"/>
    </row>
    <row r="23" spans="2:14" s="588" customFormat="1" ht="14.25" thickBot="1">
      <c r="B23" s="874" t="s">
        <v>262</v>
      </c>
      <c r="C23" s="875"/>
      <c r="D23" s="877"/>
      <c r="E23" s="578">
        <f>SUM(E17:E22)</f>
        <v>291666.66766666662</v>
      </c>
      <c r="F23" s="623">
        <f>SUM(F17:F22)</f>
        <v>53690.8485</v>
      </c>
      <c r="G23" s="624">
        <f t="shared" si="0"/>
        <v>345357.51616666664</v>
      </c>
      <c r="H23" s="579"/>
      <c r="I23" s="580"/>
      <c r="J23" s="608"/>
      <c r="K23" s="562"/>
      <c r="L23" s="562"/>
      <c r="M23" s="562"/>
      <c r="N23" s="562"/>
    </row>
    <row r="24" spans="2:14" s="588" customFormat="1">
      <c r="B24" s="214" t="s">
        <v>101</v>
      </c>
      <c r="C24" s="700">
        <v>500000</v>
      </c>
      <c r="D24" s="686">
        <v>43281</v>
      </c>
      <c r="E24" s="592">
        <v>0</v>
      </c>
      <c r="F24" s="592">
        <v>7014.5829999999996</v>
      </c>
      <c r="G24" s="701">
        <f t="shared" ref="G24:G29" si="1">SUM(E24:F24)</f>
        <v>7014.5829999999996</v>
      </c>
      <c r="H24" s="702"/>
      <c r="I24" s="703"/>
      <c r="J24" s="608"/>
      <c r="K24" s="562"/>
      <c r="L24" s="562"/>
      <c r="M24" s="562"/>
      <c r="N24" s="562"/>
    </row>
    <row r="25" spans="2:14" s="588" customFormat="1">
      <c r="B25" s="224" t="s">
        <v>101</v>
      </c>
      <c r="C25" s="704">
        <v>1150000</v>
      </c>
      <c r="D25" s="675">
        <v>43281</v>
      </c>
      <c r="E25" s="676">
        <v>0</v>
      </c>
      <c r="F25" s="676">
        <v>15721.724537037</v>
      </c>
      <c r="G25" s="705">
        <f t="shared" si="1"/>
        <v>15721.724537037</v>
      </c>
      <c r="H25" s="706"/>
      <c r="I25" s="233"/>
      <c r="J25" s="562"/>
      <c r="K25" s="562"/>
      <c r="L25" s="562"/>
      <c r="M25" s="562"/>
      <c r="N25" s="562"/>
    </row>
    <row r="26" spans="2:14">
      <c r="B26" s="224" t="s">
        <v>101</v>
      </c>
      <c r="C26" s="704">
        <v>1000000</v>
      </c>
      <c r="D26" s="675">
        <v>43281</v>
      </c>
      <c r="E26" s="676">
        <v>0</v>
      </c>
      <c r="F26" s="676">
        <v>13628.935185185201</v>
      </c>
      <c r="G26" s="705">
        <f t="shared" si="1"/>
        <v>13628.935185185201</v>
      </c>
      <c r="H26" s="706"/>
      <c r="I26" s="233"/>
    </row>
    <row r="27" spans="2:14" s="588" customFormat="1">
      <c r="B27" s="688" t="s">
        <v>101</v>
      </c>
      <c r="C27" s="689">
        <v>1000000</v>
      </c>
      <c r="D27" s="690">
        <v>43281</v>
      </c>
      <c r="E27" s="691">
        <v>71428.570999999996</v>
      </c>
      <c r="F27" s="691">
        <v>1265.6949999999999</v>
      </c>
      <c r="G27" s="692">
        <f t="shared" si="1"/>
        <v>72694.266000000003</v>
      </c>
      <c r="H27" s="879" t="s">
        <v>168</v>
      </c>
      <c r="I27" s="880"/>
      <c r="J27" s="562"/>
      <c r="K27" s="562"/>
      <c r="L27" s="562"/>
      <c r="M27" s="562"/>
      <c r="N27" s="562"/>
    </row>
    <row r="28" spans="2:14">
      <c r="B28" s="224" t="s">
        <v>101</v>
      </c>
      <c r="C28" s="707">
        <v>350000</v>
      </c>
      <c r="D28" s="675">
        <v>43281</v>
      </c>
      <c r="E28" s="696">
        <v>0</v>
      </c>
      <c r="F28" s="696">
        <v>4821.7359999999999</v>
      </c>
      <c r="G28" s="705">
        <f t="shared" si="1"/>
        <v>4821.7359999999999</v>
      </c>
      <c r="H28" s="708"/>
      <c r="I28" s="313"/>
    </row>
    <row r="29" spans="2:14" s="588" customFormat="1" ht="13.5" thickBot="1">
      <c r="B29" s="335" t="s">
        <v>101</v>
      </c>
      <c r="C29" s="707">
        <v>500000</v>
      </c>
      <c r="D29" s="698">
        <v>43281</v>
      </c>
      <c r="E29" s="696">
        <v>0</v>
      </c>
      <c r="F29" s="696">
        <v>7014.5829999999996</v>
      </c>
      <c r="G29" s="709">
        <f t="shared" si="1"/>
        <v>7014.5829999999996</v>
      </c>
      <c r="H29" s="708"/>
      <c r="I29" s="313"/>
      <c r="J29" s="562"/>
      <c r="K29" s="562"/>
      <c r="L29" s="562"/>
      <c r="M29" s="562"/>
      <c r="N29" s="562"/>
    </row>
    <row r="30" spans="2:14" ht="14.25" thickBot="1">
      <c r="B30" s="874" t="s">
        <v>263</v>
      </c>
      <c r="C30" s="875"/>
      <c r="D30" s="877"/>
      <c r="E30" s="578">
        <f>SUM(E24:E29)</f>
        <v>71428.570999999996</v>
      </c>
      <c r="F30" s="623">
        <f>SUM(F24:F29)</f>
        <v>49467.256722222199</v>
      </c>
      <c r="G30" s="624">
        <f t="shared" ref="G30:G37" si="2">SUM(E30:F30)</f>
        <v>120895.8277222222</v>
      </c>
      <c r="H30" s="579"/>
      <c r="I30" s="580"/>
    </row>
    <row r="31" spans="2:14" s="588" customFormat="1">
      <c r="B31" s="589" t="s">
        <v>122</v>
      </c>
      <c r="C31" s="590">
        <v>1488000</v>
      </c>
      <c r="D31" s="591">
        <v>43307</v>
      </c>
      <c r="E31" s="592">
        <v>106285.71400000001</v>
      </c>
      <c r="F31" s="592">
        <v>6145.3810000000003</v>
      </c>
      <c r="G31" s="590">
        <f t="shared" si="2"/>
        <v>112431.095</v>
      </c>
      <c r="H31" s="589"/>
      <c r="I31" s="594"/>
      <c r="J31" s="562"/>
      <c r="K31" s="562"/>
      <c r="L31" s="562"/>
      <c r="M31" s="562"/>
      <c r="N31" s="562"/>
    </row>
    <row r="32" spans="2:14">
      <c r="B32" s="538" t="s">
        <v>101</v>
      </c>
      <c r="C32" s="613">
        <v>2418000</v>
      </c>
      <c r="D32" s="630">
        <v>43307</v>
      </c>
      <c r="E32" s="612">
        <v>172714.28599999999</v>
      </c>
      <c r="F32" s="612">
        <v>9552.0589999999993</v>
      </c>
      <c r="G32" s="613">
        <f t="shared" si="2"/>
        <v>182266.345</v>
      </c>
      <c r="H32" s="538"/>
      <c r="I32" s="540"/>
    </row>
    <row r="33" spans="2:9" ht="13.5" thickBot="1">
      <c r="B33" s="73" t="s">
        <v>101</v>
      </c>
      <c r="C33" s="626">
        <v>2500000</v>
      </c>
      <c r="D33" s="627">
        <v>43312</v>
      </c>
      <c r="E33" s="628">
        <v>0</v>
      </c>
      <c r="F33" s="628">
        <v>68507.638888888905</v>
      </c>
      <c r="G33" s="626">
        <f t="shared" si="2"/>
        <v>68507.638888888905</v>
      </c>
      <c r="H33" s="73"/>
      <c r="I33" s="79"/>
    </row>
    <row r="34" spans="2:9" ht="14.25" thickBot="1">
      <c r="B34" s="874" t="s">
        <v>264</v>
      </c>
      <c r="C34" s="875"/>
      <c r="D34" s="876"/>
      <c r="E34" s="578">
        <f>SUM(E31:E33)</f>
        <v>279000</v>
      </c>
      <c r="F34" s="623">
        <f>SUM(F31:F33)</f>
        <v>84205.078888888907</v>
      </c>
      <c r="G34" s="624">
        <f t="shared" si="2"/>
        <v>363205.07888888894</v>
      </c>
      <c r="H34" s="629"/>
      <c r="I34" s="580"/>
    </row>
    <row r="35" spans="2:9">
      <c r="B35" s="537" t="s">
        <v>101</v>
      </c>
      <c r="C35" s="603">
        <v>500000</v>
      </c>
      <c r="D35" s="625">
        <v>43373</v>
      </c>
      <c r="E35" s="605">
        <v>41666.667000000001</v>
      </c>
      <c r="F35" s="605">
        <v>7091.6670000000004</v>
      </c>
      <c r="G35" s="606">
        <f t="shared" si="2"/>
        <v>48758.334000000003</v>
      </c>
      <c r="H35" s="607"/>
      <c r="I35" s="539"/>
    </row>
    <row r="36" spans="2:9">
      <c r="B36" s="538" t="s">
        <v>101</v>
      </c>
      <c r="C36" s="610">
        <v>1150000</v>
      </c>
      <c r="D36" s="630">
        <v>43373</v>
      </c>
      <c r="E36" s="612">
        <v>95833.333333333328</v>
      </c>
      <c r="F36" s="612">
        <v>15894.490740740701</v>
      </c>
      <c r="G36" s="613">
        <f t="shared" si="2"/>
        <v>111727.82407407403</v>
      </c>
      <c r="H36" s="614"/>
      <c r="I36" s="540"/>
    </row>
    <row r="37" spans="2:9">
      <c r="B37" s="538" t="s">
        <v>101</v>
      </c>
      <c r="C37" s="610">
        <v>1000000</v>
      </c>
      <c r="D37" s="630">
        <v>43373</v>
      </c>
      <c r="E37" s="612">
        <v>83333.333333333328</v>
      </c>
      <c r="F37" s="612">
        <v>13778.703703703701</v>
      </c>
      <c r="G37" s="613">
        <f t="shared" si="2"/>
        <v>97112.037037037022</v>
      </c>
      <c r="H37" s="614"/>
      <c r="I37" s="540"/>
    </row>
    <row r="38" spans="2:9">
      <c r="B38" s="538" t="s">
        <v>101</v>
      </c>
      <c r="C38" s="618">
        <v>350000</v>
      </c>
      <c r="D38" s="611">
        <v>43373</v>
      </c>
      <c r="E38" s="619">
        <v>29166.667000000001</v>
      </c>
      <c r="F38" s="619">
        <v>4874.7219999999998</v>
      </c>
      <c r="G38" s="622">
        <f t="shared" ref="G38:G45" si="3">SUM(E38:F38)</f>
        <v>34041.389000000003</v>
      </c>
      <c r="H38" s="620"/>
      <c r="I38" s="68"/>
    </row>
    <row r="39" spans="2:9" ht="13.5" thickBot="1">
      <c r="B39" s="62" t="s">
        <v>101</v>
      </c>
      <c r="C39" s="618">
        <v>500000</v>
      </c>
      <c r="D39" s="621">
        <v>43373</v>
      </c>
      <c r="E39" s="619">
        <v>41666.667000000001</v>
      </c>
      <c r="F39" s="619">
        <v>7091.6670000000004</v>
      </c>
      <c r="G39" s="622">
        <f t="shared" si="3"/>
        <v>48758.334000000003</v>
      </c>
      <c r="H39" s="620"/>
      <c r="I39" s="68"/>
    </row>
    <row r="40" spans="2:9" ht="14.25" thickBot="1">
      <c r="B40" s="874" t="s">
        <v>265</v>
      </c>
      <c r="C40" s="875"/>
      <c r="D40" s="877"/>
      <c r="E40" s="578">
        <f>SUM(E35:E39)</f>
        <v>291666.66766666668</v>
      </c>
      <c r="F40" s="623">
        <f>SUM(F35:F39)</f>
        <v>48731.250444444406</v>
      </c>
      <c r="G40" s="624">
        <f t="shared" si="3"/>
        <v>340397.9181111111</v>
      </c>
      <c r="H40" s="629"/>
      <c r="I40" s="580"/>
    </row>
    <row r="41" spans="2:9">
      <c r="B41" s="537" t="s">
        <v>101</v>
      </c>
      <c r="C41" s="606">
        <v>2500000</v>
      </c>
      <c r="D41" s="625">
        <v>43404</v>
      </c>
      <c r="E41" s="605">
        <v>0</v>
      </c>
      <c r="F41" s="605">
        <v>52963.888888888898</v>
      </c>
      <c r="G41" s="606">
        <f>SUM(E41:F41)</f>
        <v>52963.888888888898</v>
      </c>
      <c r="H41" s="537"/>
      <c r="I41" s="539"/>
    </row>
    <row r="42" spans="2:9" ht="13.5" thickBot="1">
      <c r="B42" s="73" t="s">
        <v>101</v>
      </c>
      <c r="C42" s="626">
        <v>1250000</v>
      </c>
      <c r="D42" s="627">
        <v>43404</v>
      </c>
      <c r="E42" s="628">
        <v>0</v>
      </c>
      <c r="F42" s="628">
        <v>36753.273000000001</v>
      </c>
      <c r="G42" s="626">
        <f>SUM(E42:F42)</f>
        <v>36753.273000000001</v>
      </c>
      <c r="H42" s="73"/>
      <c r="I42" s="79"/>
    </row>
    <row r="43" spans="2:9" ht="14.25" thickBot="1">
      <c r="B43" s="874" t="s">
        <v>293</v>
      </c>
      <c r="C43" s="875"/>
      <c r="D43" s="876"/>
      <c r="E43" s="578">
        <f>SUM(E41:E41)</f>
        <v>0</v>
      </c>
      <c r="F43" s="623">
        <f>SUM(F41:F42)</f>
        <v>89717.161888888892</v>
      </c>
      <c r="G43" s="624">
        <f>SUM(E43:F43)</f>
        <v>89717.161888888892</v>
      </c>
      <c r="H43" s="629"/>
      <c r="I43" s="580"/>
    </row>
    <row r="44" spans="2:9">
      <c r="B44" s="537" t="s">
        <v>101</v>
      </c>
      <c r="C44" s="603">
        <v>500000</v>
      </c>
      <c r="D44" s="604">
        <v>43465</v>
      </c>
      <c r="E44" s="605">
        <v>0</v>
      </c>
      <c r="F44" s="605">
        <v>6382.5</v>
      </c>
      <c r="G44" s="606">
        <f t="shared" si="3"/>
        <v>6382.5</v>
      </c>
      <c r="H44" s="537"/>
      <c r="I44" s="539"/>
    </row>
    <row r="45" spans="2:9">
      <c r="B45" s="538" t="s">
        <v>101</v>
      </c>
      <c r="C45" s="610">
        <v>1150000</v>
      </c>
      <c r="D45" s="611">
        <v>43465</v>
      </c>
      <c r="E45" s="612">
        <v>0</v>
      </c>
      <c r="F45" s="612">
        <v>14305.041666666701</v>
      </c>
      <c r="G45" s="613">
        <f t="shared" si="3"/>
        <v>14305.041666666701</v>
      </c>
      <c r="H45" s="538"/>
      <c r="I45" s="540"/>
    </row>
    <row r="46" spans="2:9">
      <c r="B46" s="538" t="s">
        <v>101</v>
      </c>
      <c r="C46" s="610">
        <v>1000000</v>
      </c>
      <c r="D46" s="611">
        <v>43465</v>
      </c>
      <c r="E46" s="612">
        <v>0</v>
      </c>
      <c r="F46" s="612">
        <v>12400.833333333299</v>
      </c>
      <c r="G46" s="613">
        <f>SUM(E46:F46)</f>
        <v>12400.833333333299</v>
      </c>
      <c r="H46" s="538"/>
      <c r="I46" s="540"/>
    </row>
    <row r="47" spans="2:9">
      <c r="B47" s="538" t="s">
        <v>101</v>
      </c>
      <c r="C47" s="618">
        <v>350000</v>
      </c>
      <c r="D47" s="611">
        <v>43465</v>
      </c>
      <c r="E47" s="619">
        <v>0</v>
      </c>
      <c r="F47" s="619">
        <v>4387.25</v>
      </c>
      <c r="G47" s="613">
        <f>SUM(E47:F47)</f>
        <v>4387.25</v>
      </c>
      <c r="H47" s="538"/>
      <c r="I47" s="540"/>
    </row>
    <row r="48" spans="2:9" ht="13.5" thickBot="1">
      <c r="B48" s="62" t="s">
        <v>101</v>
      </c>
      <c r="C48" s="618">
        <v>500000</v>
      </c>
      <c r="D48" s="621">
        <v>43465</v>
      </c>
      <c r="E48" s="619">
        <v>0</v>
      </c>
      <c r="F48" s="619">
        <v>6382.5</v>
      </c>
      <c r="G48" s="622">
        <f>SUM(E48:F48)</f>
        <v>6382.5</v>
      </c>
      <c r="H48" s="538"/>
      <c r="I48" s="540"/>
    </row>
    <row r="49" spans="2:9" ht="14.25" thickBot="1">
      <c r="B49" s="874" t="s">
        <v>266</v>
      </c>
      <c r="C49" s="875"/>
      <c r="D49" s="876"/>
      <c r="E49" s="578">
        <f>SUM(E44:E48)</f>
        <v>0</v>
      </c>
      <c r="F49" s="623">
        <f>SUM(F44:F48)</f>
        <v>43858.125</v>
      </c>
      <c r="G49" s="624">
        <f>SUM(E49:F49)</f>
        <v>43858.125</v>
      </c>
      <c r="H49" s="579"/>
      <c r="I49" s="580"/>
    </row>
    <row r="50" spans="2:9" ht="13.5" thickBot="1">
      <c r="B50" s="581"/>
      <c r="C50" s="582"/>
      <c r="D50" s="583"/>
      <c r="E50" s="583"/>
      <c r="F50" s="583"/>
      <c r="G50" s="581"/>
      <c r="H50" s="581"/>
      <c r="I50" s="581"/>
    </row>
    <row r="51" spans="2:9" ht="14.25" thickBot="1">
      <c r="B51" s="869" t="s">
        <v>260</v>
      </c>
      <c r="C51" s="870"/>
      <c r="D51" s="871"/>
      <c r="E51" s="584">
        <f>+E49+E40+E34+E30+E23+E16+E43</f>
        <v>1212761.9063333333</v>
      </c>
      <c r="F51" s="584">
        <f>+F49+F40+F34+F30+F23+F16+F43</f>
        <v>393606.14944444445</v>
      </c>
      <c r="G51" s="584">
        <f>+G49+G40+G34+G30+G23+G16+G43</f>
        <v>1606368.0557777777</v>
      </c>
      <c r="H51" s="585"/>
      <c r="I51" s="586"/>
    </row>
  </sheetData>
  <mergeCells count="17">
    <mergeCell ref="B1:F1"/>
    <mergeCell ref="B2:F2"/>
    <mergeCell ref="H27:I27"/>
    <mergeCell ref="B49:D49"/>
    <mergeCell ref="B51:D51"/>
    <mergeCell ref="B4:C4"/>
    <mergeCell ref="B6:D6"/>
    <mergeCell ref="B8:D8"/>
    <mergeCell ref="B40:D40"/>
    <mergeCell ref="B30:D30"/>
    <mergeCell ref="B34:D34"/>
    <mergeCell ref="B10:F10"/>
    <mergeCell ref="B11:F11"/>
    <mergeCell ref="B13:C13"/>
    <mergeCell ref="B16:D16"/>
    <mergeCell ref="B23:D23"/>
    <mergeCell ref="B43:D43"/>
  </mergeCells>
  <pageMargins left="0.70866141732283472" right="0.70866141732283472" top="0.31496062992125984" bottom="0.74803149606299213" header="0.31496062992125984" footer="0.31496062992125984"/>
  <pageSetup paperSize="9" orientation="portrait" horizontalDpi="180" verticalDpi="180" r:id="rId1"/>
  <ignoredErrors>
    <ignoredError sqref="G5:G7 G9:G29 G44:G48 G33:G39 G31:G32 G41:G42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V177"/>
  <sheetViews>
    <sheetView workbookViewId="0">
      <selection activeCell="R34" sqref="R34"/>
    </sheetView>
  </sheetViews>
  <sheetFormatPr baseColWidth="10" defaultRowHeight="12.75"/>
  <cols>
    <col min="1" max="1" width="22.85546875" style="1" bestFit="1" customWidth="1"/>
    <col min="2" max="2" width="11.28515625" style="1" bestFit="1" customWidth="1"/>
    <col min="3" max="3" width="12.28515625" style="1" bestFit="1" customWidth="1"/>
    <col min="4" max="4" width="4.7109375" style="1" bestFit="1" customWidth="1"/>
    <col min="5" max="5" width="10.140625" style="2" bestFit="1" customWidth="1"/>
    <col min="6" max="6" width="11.7109375" style="3" customWidth="1"/>
    <col min="7" max="7" width="10.140625" style="1" bestFit="1" customWidth="1"/>
    <col min="8" max="8" width="10.85546875" style="3" bestFit="1" customWidth="1"/>
    <col min="9" max="9" width="9.85546875" style="1" bestFit="1" customWidth="1"/>
    <col min="10" max="10" width="10.42578125" style="1" bestFit="1" customWidth="1"/>
    <col min="11" max="11" width="10.7109375" style="2" customWidth="1"/>
    <col min="12" max="12" width="11.85546875" style="1" customWidth="1"/>
    <col min="13" max="13" width="11.7109375" style="1" bestFit="1" customWidth="1"/>
    <col min="14" max="14" width="10.140625" style="326" bestFit="1" customWidth="1"/>
    <col min="15" max="15" width="24" style="7" bestFit="1" customWidth="1"/>
    <col min="16" max="16" width="12.5703125" style="1" bestFit="1" customWidth="1"/>
    <col min="17" max="17" width="17.5703125" style="2" bestFit="1" customWidth="1"/>
    <col min="18" max="256" width="11.42578125" style="1"/>
    <col min="257" max="257" width="8.85546875" style="1" bestFit="1" customWidth="1"/>
    <col min="258" max="258" width="10.140625" style="1" bestFit="1" customWidth="1"/>
    <col min="259" max="259" width="12.140625" style="1" bestFit="1" customWidth="1"/>
    <col min="260" max="260" width="4.5703125" style="1" bestFit="1" customWidth="1"/>
    <col min="261" max="261" width="11.28515625" style="1" bestFit="1" customWidth="1"/>
    <col min="262" max="262" width="13.28515625" style="1" bestFit="1" customWidth="1"/>
    <col min="263" max="263" width="12.140625" style="1" bestFit="1" customWidth="1"/>
    <col min="264" max="264" width="14.5703125" style="1" customWidth="1"/>
    <col min="265" max="266" width="12.140625" style="1" bestFit="1" customWidth="1"/>
    <col min="267" max="267" width="11.85546875" style="1" bestFit="1" customWidth="1"/>
    <col min="268" max="268" width="12.140625" style="1" bestFit="1" customWidth="1"/>
    <col min="269" max="269" width="12" style="1" bestFit="1" customWidth="1"/>
    <col min="270" max="270" width="18.7109375" style="1" bestFit="1" customWidth="1"/>
    <col min="271" max="512" width="11.42578125" style="1"/>
    <col min="513" max="513" width="8.85546875" style="1" bestFit="1" customWidth="1"/>
    <col min="514" max="514" width="10.140625" style="1" bestFit="1" customWidth="1"/>
    <col min="515" max="515" width="12.140625" style="1" bestFit="1" customWidth="1"/>
    <col min="516" max="516" width="4.5703125" style="1" bestFit="1" customWidth="1"/>
    <col min="517" max="517" width="11.28515625" style="1" bestFit="1" customWidth="1"/>
    <col min="518" max="518" width="13.28515625" style="1" bestFit="1" customWidth="1"/>
    <col min="519" max="519" width="12.140625" style="1" bestFit="1" customWidth="1"/>
    <col min="520" max="520" width="14.5703125" style="1" customWidth="1"/>
    <col min="521" max="522" width="12.140625" style="1" bestFit="1" customWidth="1"/>
    <col min="523" max="523" width="11.85546875" style="1" bestFit="1" customWidth="1"/>
    <col min="524" max="524" width="12.140625" style="1" bestFit="1" customWidth="1"/>
    <col min="525" max="525" width="12" style="1" bestFit="1" customWidth="1"/>
    <col min="526" max="526" width="18.7109375" style="1" bestFit="1" customWidth="1"/>
    <col min="527" max="768" width="11.42578125" style="1"/>
    <col min="769" max="769" width="8.85546875" style="1" bestFit="1" customWidth="1"/>
    <col min="770" max="770" width="10.140625" style="1" bestFit="1" customWidth="1"/>
    <col min="771" max="771" width="12.140625" style="1" bestFit="1" customWidth="1"/>
    <col min="772" max="772" width="4.5703125" style="1" bestFit="1" customWidth="1"/>
    <col min="773" max="773" width="11.28515625" style="1" bestFit="1" customWidth="1"/>
    <col min="774" max="774" width="13.28515625" style="1" bestFit="1" customWidth="1"/>
    <col min="775" max="775" width="12.140625" style="1" bestFit="1" customWidth="1"/>
    <col min="776" max="776" width="14.5703125" style="1" customWidth="1"/>
    <col min="777" max="778" width="12.140625" style="1" bestFit="1" customWidth="1"/>
    <col min="779" max="779" width="11.85546875" style="1" bestFit="1" customWidth="1"/>
    <col min="780" max="780" width="12.140625" style="1" bestFit="1" customWidth="1"/>
    <col min="781" max="781" width="12" style="1" bestFit="1" customWidth="1"/>
    <col min="782" max="782" width="18.7109375" style="1" bestFit="1" customWidth="1"/>
    <col min="783" max="1024" width="11.42578125" style="1"/>
    <col min="1025" max="1025" width="8.85546875" style="1" bestFit="1" customWidth="1"/>
    <col min="1026" max="1026" width="10.140625" style="1" bestFit="1" customWidth="1"/>
    <col min="1027" max="1027" width="12.140625" style="1" bestFit="1" customWidth="1"/>
    <col min="1028" max="1028" width="4.5703125" style="1" bestFit="1" customWidth="1"/>
    <col min="1029" max="1029" width="11.28515625" style="1" bestFit="1" customWidth="1"/>
    <col min="1030" max="1030" width="13.28515625" style="1" bestFit="1" customWidth="1"/>
    <col min="1031" max="1031" width="12.140625" style="1" bestFit="1" customWidth="1"/>
    <col min="1032" max="1032" width="14.5703125" style="1" customWidth="1"/>
    <col min="1033" max="1034" width="12.140625" style="1" bestFit="1" customWidth="1"/>
    <col min="1035" max="1035" width="11.85546875" style="1" bestFit="1" customWidth="1"/>
    <col min="1036" max="1036" width="12.140625" style="1" bestFit="1" customWidth="1"/>
    <col min="1037" max="1037" width="12" style="1" bestFit="1" customWidth="1"/>
    <col min="1038" max="1038" width="18.7109375" style="1" bestFit="1" customWidth="1"/>
    <col min="1039" max="1280" width="11.42578125" style="1"/>
    <col min="1281" max="1281" width="8.85546875" style="1" bestFit="1" customWidth="1"/>
    <col min="1282" max="1282" width="10.140625" style="1" bestFit="1" customWidth="1"/>
    <col min="1283" max="1283" width="12.140625" style="1" bestFit="1" customWidth="1"/>
    <col min="1284" max="1284" width="4.5703125" style="1" bestFit="1" customWidth="1"/>
    <col min="1285" max="1285" width="11.28515625" style="1" bestFit="1" customWidth="1"/>
    <col min="1286" max="1286" width="13.28515625" style="1" bestFit="1" customWidth="1"/>
    <col min="1287" max="1287" width="12.140625" style="1" bestFit="1" customWidth="1"/>
    <col min="1288" max="1288" width="14.5703125" style="1" customWidth="1"/>
    <col min="1289" max="1290" width="12.140625" style="1" bestFit="1" customWidth="1"/>
    <col min="1291" max="1291" width="11.85546875" style="1" bestFit="1" customWidth="1"/>
    <col min="1292" max="1292" width="12.140625" style="1" bestFit="1" customWidth="1"/>
    <col min="1293" max="1293" width="12" style="1" bestFit="1" customWidth="1"/>
    <col min="1294" max="1294" width="18.7109375" style="1" bestFit="1" customWidth="1"/>
    <col min="1295" max="1536" width="11.42578125" style="1"/>
    <col min="1537" max="1537" width="8.85546875" style="1" bestFit="1" customWidth="1"/>
    <col min="1538" max="1538" width="10.140625" style="1" bestFit="1" customWidth="1"/>
    <col min="1539" max="1539" width="12.140625" style="1" bestFit="1" customWidth="1"/>
    <col min="1540" max="1540" width="4.5703125" style="1" bestFit="1" customWidth="1"/>
    <col min="1541" max="1541" width="11.28515625" style="1" bestFit="1" customWidth="1"/>
    <col min="1542" max="1542" width="13.28515625" style="1" bestFit="1" customWidth="1"/>
    <col min="1543" max="1543" width="12.140625" style="1" bestFit="1" customWidth="1"/>
    <col min="1544" max="1544" width="14.5703125" style="1" customWidth="1"/>
    <col min="1545" max="1546" width="12.140625" style="1" bestFit="1" customWidth="1"/>
    <col min="1547" max="1547" width="11.85546875" style="1" bestFit="1" customWidth="1"/>
    <col min="1548" max="1548" width="12.140625" style="1" bestFit="1" customWidth="1"/>
    <col min="1549" max="1549" width="12" style="1" bestFit="1" customWidth="1"/>
    <col min="1550" max="1550" width="18.7109375" style="1" bestFit="1" customWidth="1"/>
    <col min="1551" max="1792" width="11.42578125" style="1"/>
    <col min="1793" max="1793" width="8.85546875" style="1" bestFit="1" customWidth="1"/>
    <col min="1794" max="1794" width="10.140625" style="1" bestFit="1" customWidth="1"/>
    <col min="1795" max="1795" width="12.140625" style="1" bestFit="1" customWidth="1"/>
    <col min="1796" max="1796" width="4.5703125" style="1" bestFit="1" customWidth="1"/>
    <col min="1797" max="1797" width="11.28515625" style="1" bestFit="1" customWidth="1"/>
    <col min="1798" max="1798" width="13.28515625" style="1" bestFit="1" customWidth="1"/>
    <col min="1799" max="1799" width="12.140625" style="1" bestFit="1" customWidth="1"/>
    <col min="1800" max="1800" width="14.5703125" style="1" customWidth="1"/>
    <col min="1801" max="1802" width="12.140625" style="1" bestFit="1" customWidth="1"/>
    <col min="1803" max="1803" width="11.85546875" style="1" bestFit="1" customWidth="1"/>
    <col min="1804" max="1804" width="12.140625" style="1" bestFit="1" customWidth="1"/>
    <col min="1805" max="1805" width="12" style="1" bestFit="1" customWidth="1"/>
    <col min="1806" max="1806" width="18.7109375" style="1" bestFit="1" customWidth="1"/>
    <col min="1807" max="2048" width="11.42578125" style="1"/>
    <col min="2049" max="2049" width="8.85546875" style="1" bestFit="1" customWidth="1"/>
    <col min="2050" max="2050" width="10.140625" style="1" bestFit="1" customWidth="1"/>
    <col min="2051" max="2051" width="12.140625" style="1" bestFit="1" customWidth="1"/>
    <col min="2052" max="2052" width="4.5703125" style="1" bestFit="1" customWidth="1"/>
    <col min="2053" max="2053" width="11.28515625" style="1" bestFit="1" customWidth="1"/>
    <col min="2054" max="2054" width="13.28515625" style="1" bestFit="1" customWidth="1"/>
    <col min="2055" max="2055" width="12.140625" style="1" bestFit="1" customWidth="1"/>
    <col min="2056" max="2056" width="14.5703125" style="1" customWidth="1"/>
    <col min="2057" max="2058" width="12.140625" style="1" bestFit="1" customWidth="1"/>
    <col min="2059" max="2059" width="11.85546875" style="1" bestFit="1" customWidth="1"/>
    <col min="2060" max="2060" width="12.140625" style="1" bestFit="1" customWidth="1"/>
    <col min="2061" max="2061" width="12" style="1" bestFit="1" customWidth="1"/>
    <col min="2062" max="2062" width="18.7109375" style="1" bestFit="1" customWidth="1"/>
    <col min="2063" max="2304" width="11.42578125" style="1"/>
    <col min="2305" max="2305" width="8.85546875" style="1" bestFit="1" customWidth="1"/>
    <col min="2306" max="2306" width="10.140625" style="1" bestFit="1" customWidth="1"/>
    <col min="2307" max="2307" width="12.140625" style="1" bestFit="1" customWidth="1"/>
    <col min="2308" max="2308" width="4.5703125" style="1" bestFit="1" customWidth="1"/>
    <col min="2309" max="2309" width="11.28515625" style="1" bestFit="1" customWidth="1"/>
    <col min="2310" max="2310" width="13.28515625" style="1" bestFit="1" customWidth="1"/>
    <col min="2311" max="2311" width="12.140625" style="1" bestFit="1" customWidth="1"/>
    <col min="2312" max="2312" width="14.5703125" style="1" customWidth="1"/>
    <col min="2313" max="2314" width="12.140625" style="1" bestFit="1" customWidth="1"/>
    <col min="2315" max="2315" width="11.85546875" style="1" bestFit="1" customWidth="1"/>
    <col min="2316" max="2316" width="12.140625" style="1" bestFit="1" customWidth="1"/>
    <col min="2317" max="2317" width="12" style="1" bestFit="1" customWidth="1"/>
    <col min="2318" max="2318" width="18.7109375" style="1" bestFit="1" customWidth="1"/>
    <col min="2319" max="2560" width="11.42578125" style="1"/>
    <col min="2561" max="2561" width="8.85546875" style="1" bestFit="1" customWidth="1"/>
    <col min="2562" max="2562" width="10.140625" style="1" bestFit="1" customWidth="1"/>
    <col min="2563" max="2563" width="12.140625" style="1" bestFit="1" customWidth="1"/>
    <col min="2564" max="2564" width="4.5703125" style="1" bestFit="1" customWidth="1"/>
    <col min="2565" max="2565" width="11.28515625" style="1" bestFit="1" customWidth="1"/>
    <col min="2566" max="2566" width="13.28515625" style="1" bestFit="1" customWidth="1"/>
    <col min="2567" max="2567" width="12.140625" style="1" bestFit="1" customWidth="1"/>
    <col min="2568" max="2568" width="14.5703125" style="1" customWidth="1"/>
    <col min="2569" max="2570" width="12.140625" style="1" bestFit="1" customWidth="1"/>
    <col min="2571" max="2571" width="11.85546875" style="1" bestFit="1" customWidth="1"/>
    <col min="2572" max="2572" width="12.140625" style="1" bestFit="1" customWidth="1"/>
    <col min="2573" max="2573" width="12" style="1" bestFit="1" customWidth="1"/>
    <col min="2574" max="2574" width="18.7109375" style="1" bestFit="1" customWidth="1"/>
    <col min="2575" max="2816" width="11.42578125" style="1"/>
    <col min="2817" max="2817" width="8.85546875" style="1" bestFit="1" customWidth="1"/>
    <col min="2818" max="2818" width="10.140625" style="1" bestFit="1" customWidth="1"/>
    <col min="2819" max="2819" width="12.140625" style="1" bestFit="1" customWidth="1"/>
    <col min="2820" max="2820" width="4.5703125" style="1" bestFit="1" customWidth="1"/>
    <col min="2821" max="2821" width="11.28515625" style="1" bestFit="1" customWidth="1"/>
    <col min="2822" max="2822" width="13.28515625" style="1" bestFit="1" customWidth="1"/>
    <col min="2823" max="2823" width="12.140625" style="1" bestFit="1" customWidth="1"/>
    <col min="2824" max="2824" width="14.5703125" style="1" customWidth="1"/>
    <col min="2825" max="2826" width="12.140625" style="1" bestFit="1" customWidth="1"/>
    <col min="2827" max="2827" width="11.85546875" style="1" bestFit="1" customWidth="1"/>
    <col min="2828" max="2828" width="12.140625" style="1" bestFit="1" customWidth="1"/>
    <col min="2829" max="2829" width="12" style="1" bestFit="1" customWidth="1"/>
    <col min="2830" max="2830" width="18.7109375" style="1" bestFit="1" customWidth="1"/>
    <col min="2831" max="3072" width="11.42578125" style="1"/>
    <col min="3073" max="3073" width="8.85546875" style="1" bestFit="1" customWidth="1"/>
    <col min="3074" max="3074" width="10.140625" style="1" bestFit="1" customWidth="1"/>
    <col min="3075" max="3075" width="12.140625" style="1" bestFit="1" customWidth="1"/>
    <col min="3076" max="3076" width="4.5703125" style="1" bestFit="1" customWidth="1"/>
    <col min="3077" max="3077" width="11.28515625" style="1" bestFit="1" customWidth="1"/>
    <col min="3078" max="3078" width="13.28515625" style="1" bestFit="1" customWidth="1"/>
    <col min="3079" max="3079" width="12.140625" style="1" bestFit="1" customWidth="1"/>
    <col min="3080" max="3080" width="14.5703125" style="1" customWidth="1"/>
    <col min="3081" max="3082" width="12.140625" style="1" bestFit="1" customWidth="1"/>
    <col min="3083" max="3083" width="11.85546875" style="1" bestFit="1" customWidth="1"/>
    <col min="3084" max="3084" width="12.140625" style="1" bestFit="1" customWidth="1"/>
    <col min="3085" max="3085" width="12" style="1" bestFit="1" customWidth="1"/>
    <col min="3086" max="3086" width="18.7109375" style="1" bestFit="1" customWidth="1"/>
    <col min="3087" max="3328" width="11.42578125" style="1"/>
    <col min="3329" max="3329" width="8.85546875" style="1" bestFit="1" customWidth="1"/>
    <col min="3330" max="3330" width="10.140625" style="1" bestFit="1" customWidth="1"/>
    <col min="3331" max="3331" width="12.140625" style="1" bestFit="1" customWidth="1"/>
    <col min="3332" max="3332" width="4.5703125" style="1" bestFit="1" customWidth="1"/>
    <col min="3333" max="3333" width="11.28515625" style="1" bestFit="1" customWidth="1"/>
    <col min="3334" max="3334" width="13.28515625" style="1" bestFit="1" customWidth="1"/>
    <col min="3335" max="3335" width="12.140625" style="1" bestFit="1" customWidth="1"/>
    <col min="3336" max="3336" width="14.5703125" style="1" customWidth="1"/>
    <col min="3337" max="3338" width="12.140625" style="1" bestFit="1" customWidth="1"/>
    <col min="3339" max="3339" width="11.85546875" style="1" bestFit="1" customWidth="1"/>
    <col min="3340" max="3340" width="12.140625" style="1" bestFit="1" customWidth="1"/>
    <col min="3341" max="3341" width="12" style="1" bestFit="1" customWidth="1"/>
    <col min="3342" max="3342" width="18.7109375" style="1" bestFit="1" customWidth="1"/>
    <col min="3343" max="3584" width="11.42578125" style="1"/>
    <col min="3585" max="3585" width="8.85546875" style="1" bestFit="1" customWidth="1"/>
    <col min="3586" max="3586" width="10.140625" style="1" bestFit="1" customWidth="1"/>
    <col min="3587" max="3587" width="12.140625" style="1" bestFit="1" customWidth="1"/>
    <col min="3588" max="3588" width="4.5703125" style="1" bestFit="1" customWidth="1"/>
    <col min="3589" max="3589" width="11.28515625" style="1" bestFit="1" customWidth="1"/>
    <col min="3590" max="3590" width="13.28515625" style="1" bestFit="1" customWidth="1"/>
    <col min="3591" max="3591" width="12.140625" style="1" bestFit="1" customWidth="1"/>
    <col min="3592" max="3592" width="14.5703125" style="1" customWidth="1"/>
    <col min="3593" max="3594" width="12.140625" style="1" bestFit="1" customWidth="1"/>
    <col min="3595" max="3595" width="11.85546875" style="1" bestFit="1" customWidth="1"/>
    <col min="3596" max="3596" width="12.140625" style="1" bestFit="1" customWidth="1"/>
    <col min="3597" max="3597" width="12" style="1" bestFit="1" customWidth="1"/>
    <col min="3598" max="3598" width="18.7109375" style="1" bestFit="1" customWidth="1"/>
    <col min="3599" max="3840" width="11.42578125" style="1"/>
    <col min="3841" max="3841" width="8.85546875" style="1" bestFit="1" customWidth="1"/>
    <col min="3842" max="3842" width="10.140625" style="1" bestFit="1" customWidth="1"/>
    <col min="3843" max="3843" width="12.140625" style="1" bestFit="1" customWidth="1"/>
    <col min="3844" max="3844" width="4.5703125" style="1" bestFit="1" customWidth="1"/>
    <col min="3845" max="3845" width="11.28515625" style="1" bestFit="1" customWidth="1"/>
    <col min="3846" max="3846" width="13.28515625" style="1" bestFit="1" customWidth="1"/>
    <col min="3847" max="3847" width="12.140625" style="1" bestFit="1" customWidth="1"/>
    <col min="3848" max="3848" width="14.5703125" style="1" customWidth="1"/>
    <col min="3849" max="3850" width="12.140625" style="1" bestFit="1" customWidth="1"/>
    <col min="3851" max="3851" width="11.85546875" style="1" bestFit="1" customWidth="1"/>
    <col min="3852" max="3852" width="12.140625" style="1" bestFit="1" customWidth="1"/>
    <col min="3853" max="3853" width="12" style="1" bestFit="1" customWidth="1"/>
    <col min="3854" max="3854" width="18.7109375" style="1" bestFit="1" customWidth="1"/>
    <col min="3855" max="4096" width="11.42578125" style="1"/>
    <col min="4097" max="4097" width="8.85546875" style="1" bestFit="1" customWidth="1"/>
    <col min="4098" max="4098" width="10.140625" style="1" bestFit="1" customWidth="1"/>
    <col min="4099" max="4099" width="12.140625" style="1" bestFit="1" customWidth="1"/>
    <col min="4100" max="4100" width="4.5703125" style="1" bestFit="1" customWidth="1"/>
    <col min="4101" max="4101" width="11.28515625" style="1" bestFit="1" customWidth="1"/>
    <col min="4102" max="4102" width="13.28515625" style="1" bestFit="1" customWidth="1"/>
    <col min="4103" max="4103" width="12.140625" style="1" bestFit="1" customWidth="1"/>
    <col min="4104" max="4104" width="14.5703125" style="1" customWidth="1"/>
    <col min="4105" max="4106" width="12.140625" style="1" bestFit="1" customWidth="1"/>
    <col min="4107" max="4107" width="11.85546875" style="1" bestFit="1" customWidth="1"/>
    <col min="4108" max="4108" width="12.140625" style="1" bestFit="1" customWidth="1"/>
    <col min="4109" max="4109" width="12" style="1" bestFit="1" customWidth="1"/>
    <col min="4110" max="4110" width="18.7109375" style="1" bestFit="1" customWidth="1"/>
    <col min="4111" max="4352" width="11.42578125" style="1"/>
    <col min="4353" max="4353" width="8.85546875" style="1" bestFit="1" customWidth="1"/>
    <col min="4354" max="4354" width="10.140625" style="1" bestFit="1" customWidth="1"/>
    <col min="4355" max="4355" width="12.140625" style="1" bestFit="1" customWidth="1"/>
    <col min="4356" max="4356" width="4.5703125" style="1" bestFit="1" customWidth="1"/>
    <col min="4357" max="4357" width="11.28515625" style="1" bestFit="1" customWidth="1"/>
    <col min="4358" max="4358" width="13.28515625" style="1" bestFit="1" customWidth="1"/>
    <col min="4359" max="4359" width="12.140625" style="1" bestFit="1" customWidth="1"/>
    <col min="4360" max="4360" width="14.5703125" style="1" customWidth="1"/>
    <col min="4361" max="4362" width="12.140625" style="1" bestFit="1" customWidth="1"/>
    <col min="4363" max="4363" width="11.85546875" style="1" bestFit="1" customWidth="1"/>
    <col min="4364" max="4364" width="12.140625" style="1" bestFit="1" customWidth="1"/>
    <col min="4365" max="4365" width="12" style="1" bestFit="1" customWidth="1"/>
    <col min="4366" max="4366" width="18.7109375" style="1" bestFit="1" customWidth="1"/>
    <col min="4367" max="4608" width="11.42578125" style="1"/>
    <col min="4609" max="4609" width="8.85546875" style="1" bestFit="1" customWidth="1"/>
    <col min="4610" max="4610" width="10.140625" style="1" bestFit="1" customWidth="1"/>
    <col min="4611" max="4611" width="12.140625" style="1" bestFit="1" customWidth="1"/>
    <col min="4612" max="4612" width="4.5703125" style="1" bestFit="1" customWidth="1"/>
    <col min="4613" max="4613" width="11.28515625" style="1" bestFit="1" customWidth="1"/>
    <col min="4614" max="4614" width="13.28515625" style="1" bestFit="1" customWidth="1"/>
    <col min="4615" max="4615" width="12.140625" style="1" bestFit="1" customWidth="1"/>
    <col min="4616" max="4616" width="14.5703125" style="1" customWidth="1"/>
    <col min="4617" max="4618" width="12.140625" style="1" bestFit="1" customWidth="1"/>
    <col min="4619" max="4619" width="11.85546875" style="1" bestFit="1" customWidth="1"/>
    <col min="4620" max="4620" width="12.140625" style="1" bestFit="1" customWidth="1"/>
    <col min="4621" max="4621" width="12" style="1" bestFit="1" customWidth="1"/>
    <col min="4622" max="4622" width="18.7109375" style="1" bestFit="1" customWidth="1"/>
    <col min="4623" max="4864" width="11.42578125" style="1"/>
    <col min="4865" max="4865" width="8.85546875" style="1" bestFit="1" customWidth="1"/>
    <col min="4866" max="4866" width="10.140625" style="1" bestFit="1" customWidth="1"/>
    <col min="4867" max="4867" width="12.140625" style="1" bestFit="1" customWidth="1"/>
    <col min="4868" max="4868" width="4.5703125" style="1" bestFit="1" customWidth="1"/>
    <col min="4869" max="4869" width="11.28515625" style="1" bestFit="1" customWidth="1"/>
    <col min="4870" max="4870" width="13.28515625" style="1" bestFit="1" customWidth="1"/>
    <col min="4871" max="4871" width="12.140625" style="1" bestFit="1" customWidth="1"/>
    <col min="4872" max="4872" width="14.5703125" style="1" customWidth="1"/>
    <col min="4873" max="4874" width="12.140625" style="1" bestFit="1" customWidth="1"/>
    <col min="4875" max="4875" width="11.85546875" style="1" bestFit="1" customWidth="1"/>
    <col min="4876" max="4876" width="12.140625" style="1" bestFit="1" customWidth="1"/>
    <col min="4877" max="4877" width="12" style="1" bestFit="1" customWidth="1"/>
    <col min="4878" max="4878" width="18.7109375" style="1" bestFit="1" customWidth="1"/>
    <col min="4879" max="5120" width="11.42578125" style="1"/>
    <col min="5121" max="5121" width="8.85546875" style="1" bestFit="1" customWidth="1"/>
    <col min="5122" max="5122" width="10.140625" style="1" bestFit="1" customWidth="1"/>
    <col min="5123" max="5123" width="12.140625" style="1" bestFit="1" customWidth="1"/>
    <col min="5124" max="5124" width="4.5703125" style="1" bestFit="1" customWidth="1"/>
    <col min="5125" max="5125" width="11.28515625" style="1" bestFit="1" customWidth="1"/>
    <col min="5126" max="5126" width="13.28515625" style="1" bestFit="1" customWidth="1"/>
    <col min="5127" max="5127" width="12.140625" style="1" bestFit="1" customWidth="1"/>
    <col min="5128" max="5128" width="14.5703125" style="1" customWidth="1"/>
    <col min="5129" max="5130" width="12.140625" style="1" bestFit="1" customWidth="1"/>
    <col min="5131" max="5131" width="11.85546875" style="1" bestFit="1" customWidth="1"/>
    <col min="5132" max="5132" width="12.140625" style="1" bestFit="1" customWidth="1"/>
    <col min="5133" max="5133" width="12" style="1" bestFit="1" customWidth="1"/>
    <col min="5134" max="5134" width="18.7109375" style="1" bestFit="1" customWidth="1"/>
    <col min="5135" max="5376" width="11.42578125" style="1"/>
    <col min="5377" max="5377" width="8.85546875" style="1" bestFit="1" customWidth="1"/>
    <col min="5378" max="5378" width="10.140625" style="1" bestFit="1" customWidth="1"/>
    <col min="5379" max="5379" width="12.140625" style="1" bestFit="1" customWidth="1"/>
    <col min="5380" max="5380" width="4.5703125" style="1" bestFit="1" customWidth="1"/>
    <col min="5381" max="5381" width="11.28515625" style="1" bestFit="1" customWidth="1"/>
    <col min="5382" max="5382" width="13.28515625" style="1" bestFit="1" customWidth="1"/>
    <col min="5383" max="5383" width="12.140625" style="1" bestFit="1" customWidth="1"/>
    <col min="5384" max="5384" width="14.5703125" style="1" customWidth="1"/>
    <col min="5385" max="5386" width="12.140625" style="1" bestFit="1" customWidth="1"/>
    <col min="5387" max="5387" width="11.85546875" style="1" bestFit="1" customWidth="1"/>
    <col min="5388" max="5388" width="12.140625" style="1" bestFit="1" customWidth="1"/>
    <col min="5389" max="5389" width="12" style="1" bestFit="1" customWidth="1"/>
    <col min="5390" max="5390" width="18.7109375" style="1" bestFit="1" customWidth="1"/>
    <col min="5391" max="5632" width="11.42578125" style="1"/>
    <col min="5633" max="5633" width="8.85546875" style="1" bestFit="1" customWidth="1"/>
    <col min="5634" max="5634" width="10.140625" style="1" bestFit="1" customWidth="1"/>
    <col min="5635" max="5635" width="12.140625" style="1" bestFit="1" customWidth="1"/>
    <col min="5636" max="5636" width="4.5703125" style="1" bestFit="1" customWidth="1"/>
    <col min="5637" max="5637" width="11.28515625" style="1" bestFit="1" customWidth="1"/>
    <col min="5638" max="5638" width="13.28515625" style="1" bestFit="1" customWidth="1"/>
    <col min="5639" max="5639" width="12.140625" style="1" bestFit="1" customWidth="1"/>
    <col min="5640" max="5640" width="14.5703125" style="1" customWidth="1"/>
    <col min="5641" max="5642" width="12.140625" style="1" bestFit="1" customWidth="1"/>
    <col min="5643" max="5643" width="11.85546875" style="1" bestFit="1" customWidth="1"/>
    <col min="5644" max="5644" width="12.140625" style="1" bestFit="1" customWidth="1"/>
    <col min="5645" max="5645" width="12" style="1" bestFit="1" customWidth="1"/>
    <col min="5646" max="5646" width="18.7109375" style="1" bestFit="1" customWidth="1"/>
    <col min="5647" max="5888" width="11.42578125" style="1"/>
    <col min="5889" max="5889" width="8.85546875" style="1" bestFit="1" customWidth="1"/>
    <col min="5890" max="5890" width="10.140625" style="1" bestFit="1" customWidth="1"/>
    <col min="5891" max="5891" width="12.140625" style="1" bestFit="1" customWidth="1"/>
    <col min="5892" max="5892" width="4.5703125" style="1" bestFit="1" customWidth="1"/>
    <col min="5893" max="5893" width="11.28515625" style="1" bestFit="1" customWidth="1"/>
    <col min="5894" max="5894" width="13.28515625" style="1" bestFit="1" customWidth="1"/>
    <col min="5895" max="5895" width="12.140625" style="1" bestFit="1" customWidth="1"/>
    <col min="5896" max="5896" width="14.5703125" style="1" customWidth="1"/>
    <col min="5897" max="5898" width="12.140625" style="1" bestFit="1" customWidth="1"/>
    <col min="5899" max="5899" width="11.85546875" style="1" bestFit="1" customWidth="1"/>
    <col min="5900" max="5900" width="12.140625" style="1" bestFit="1" customWidth="1"/>
    <col min="5901" max="5901" width="12" style="1" bestFit="1" customWidth="1"/>
    <col min="5902" max="5902" width="18.7109375" style="1" bestFit="1" customWidth="1"/>
    <col min="5903" max="6144" width="11.42578125" style="1"/>
    <col min="6145" max="6145" width="8.85546875" style="1" bestFit="1" customWidth="1"/>
    <col min="6146" max="6146" width="10.140625" style="1" bestFit="1" customWidth="1"/>
    <col min="6147" max="6147" width="12.140625" style="1" bestFit="1" customWidth="1"/>
    <col min="6148" max="6148" width="4.5703125" style="1" bestFit="1" customWidth="1"/>
    <col min="6149" max="6149" width="11.28515625" style="1" bestFit="1" customWidth="1"/>
    <col min="6150" max="6150" width="13.28515625" style="1" bestFit="1" customWidth="1"/>
    <col min="6151" max="6151" width="12.140625" style="1" bestFit="1" customWidth="1"/>
    <col min="6152" max="6152" width="14.5703125" style="1" customWidth="1"/>
    <col min="6153" max="6154" width="12.140625" style="1" bestFit="1" customWidth="1"/>
    <col min="6155" max="6155" width="11.85546875" style="1" bestFit="1" customWidth="1"/>
    <col min="6156" max="6156" width="12.140625" style="1" bestFit="1" customWidth="1"/>
    <col min="6157" max="6157" width="12" style="1" bestFit="1" customWidth="1"/>
    <col min="6158" max="6158" width="18.7109375" style="1" bestFit="1" customWidth="1"/>
    <col min="6159" max="6400" width="11.42578125" style="1"/>
    <col min="6401" max="6401" width="8.85546875" style="1" bestFit="1" customWidth="1"/>
    <col min="6402" max="6402" width="10.140625" style="1" bestFit="1" customWidth="1"/>
    <col min="6403" max="6403" width="12.140625" style="1" bestFit="1" customWidth="1"/>
    <col min="6404" max="6404" width="4.5703125" style="1" bestFit="1" customWidth="1"/>
    <col min="6405" max="6405" width="11.28515625" style="1" bestFit="1" customWidth="1"/>
    <col min="6406" max="6406" width="13.28515625" style="1" bestFit="1" customWidth="1"/>
    <col min="6407" max="6407" width="12.140625" style="1" bestFit="1" customWidth="1"/>
    <col min="6408" max="6408" width="14.5703125" style="1" customWidth="1"/>
    <col min="6409" max="6410" width="12.140625" style="1" bestFit="1" customWidth="1"/>
    <col min="6411" max="6411" width="11.85546875" style="1" bestFit="1" customWidth="1"/>
    <col min="6412" max="6412" width="12.140625" style="1" bestFit="1" customWidth="1"/>
    <col min="6413" max="6413" width="12" style="1" bestFit="1" customWidth="1"/>
    <col min="6414" max="6414" width="18.7109375" style="1" bestFit="1" customWidth="1"/>
    <col min="6415" max="6656" width="11.42578125" style="1"/>
    <col min="6657" max="6657" width="8.85546875" style="1" bestFit="1" customWidth="1"/>
    <col min="6658" max="6658" width="10.140625" style="1" bestFit="1" customWidth="1"/>
    <col min="6659" max="6659" width="12.140625" style="1" bestFit="1" customWidth="1"/>
    <col min="6660" max="6660" width="4.5703125" style="1" bestFit="1" customWidth="1"/>
    <col min="6661" max="6661" width="11.28515625" style="1" bestFit="1" customWidth="1"/>
    <col min="6662" max="6662" width="13.28515625" style="1" bestFit="1" customWidth="1"/>
    <col min="6663" max="6663" width="12.140625" style="1" bestFit="1" customWidth="1"/>
    <col min="6664" max="6664" width="14.5703125" style="1" customWidth="1"/>
    <col min="6665" max="6666" width="12.140625" style="1" bestFit="1" customWidth="1"/>
    <col min="6667" max="6667" width="11.85546875" style="1" bestFit="1" customWidth="1"/>
    <col min="6668" max="6668" width="12.140625" style="1" bestFit="1" customWidth="1"/>
    <col min="6669" max="6669" width="12" style="1" bestFit="1" customWidth="1"/>
    <col min="6670" max="6670" width="18.7109375" style="1" bestFit="1" customWidth="1"/>
    <col min="6671" max="6912" width="11.42578125" style="1"/>
    <col min="6913" max="6913" width="8.85546875" style="1" bestFit="1" customWidth="1"/>
    <col min="6914" max="6914" width="10.140625" style="1" bestFit="1" customWidth="1"/>
    <col min="6915" max="6915" width="12.140625" style="1" bestFit="1" customWidth="1"/>
    <col min="6916" max="6916" width="4.5703125" style="1" bestFit="1" customWidth="1"/>
    <col min="6917" max="6917" width="11.28515625" style="1" bestFit="1" customWidth="1"/>
    <col min="6918" max="6918" width="13.28515625" style="1" bestFit="1" customWidth="1"/>
    <col min="6919" max="6919" width="12.140625" style="1" bestFit="1" customWidth="1"/>
    <col min="6920" max="6920" width="14.5703125" style="1" customWidth="1"/>
    <col min="6921" max="6922" width="12.140625" style="1" bestFit="1" customWidth="1"/>
    <col min="6923" max="6923" width="11.85546875" style="1" bestFit="1" customWidth="1"/>
    <col min="6924" max="6924" width="12.140625" style="1" bestFit="1" customWidth="1"/>
    <col min="6925" max="6925" width="12" style="1" bestFit="1" customWidth="1"/>
    <col min="6926" max="6926" width="18.7109375" style="1" bestFit="1" customWidth="1"/>
    <col min="6927" max="7168" width="11.42578125" style="1"/>
    <col min="7169" max="7169" width="8.85546875" style="1" bestFit="1" customWidth="1"/>
    <col min="7170" max="7170" width="10.140625" style="1" bestFit="1" customWidth="1"/>
    <col min="7171" max="7171" width="12.140625" style="1" bestFit="1" customWidth="1"/>
    <col min="7172" max="7172" width="4.5703125" style="1" bestFit="1" customWidth="1"/>
    <col min="7173" max="7173" width="11.28515625" style="1" bestFit="1" customWidth="1"/>
    <col min="7174" max="7174" width="13.28515625" style="1" bestFit="1" customWidth="1"/>
    <col min="7175" max="7175" width="12.140625" style="1" bestFit="1" customWidth="1"/>
    <col min="7176" max="7176" width="14.5703125" style="1" customWidth="1"/>
    <col min="7177" max="7178" width="12.140625" style="1" bestFit="1" customWidth="1"/>
    <col min="7179" max="7179" width="11.85546875" style="1" bestFit="1" customWidth="1"/>
    <col min="7180" max="7180" width="12.140625" style="1" bestFit="1" customWidth="1"/>
    <col min="7181" max="7181" width="12" style="1" bestFit="1" customWidth="1"/>
    <col min="7182" max="7182" width="18.7109375" style="1" bestFit="1" customWidth="1"/>
    <col min="7183" max="7424" width="11.42578125" style="1"/>
    <col min="7425" max="7425" width="8.85546875" style="1" bestFit="1" customWidth="1"/>
    <col min="7426" max="7426" width="10.140625" style="1" bestFit="1" customWidth="1"/>
    <col min="7427" max="7427" width="12.140625" style="1" bestFit="1" customWidth="1"/>
    <col min="7428" max="7428" width="4.5703125" style="1" bestFit="1" customWidth="1"/>
    <col min="7429" max="7429" width="11.28515625" style="1" bestFit="1" customWidth="1"/>
    <col min="7430" max="7430" width="13.28515625" style="1" bestFit="1" customWidth="1"/>
    <col min="7431" max="7431" width="12.140625" style="1" bestFit="1" customWidth="1"/>
    <col min="7432" max="7432" width="14.5703125" style="1" customWidth="1"/>
    <col min="7433" max="7434" width="12.140625" style="1" bestFit="1" customWidth="1"/>
    <col min="7435" max="7435" width="11.85546875" style="1" bestFit="1" customWidth="1"/>
    <col min="7436" max="7436" width="12.140625" style="1" bestFit="1" customWidth="1"/>
    <col min="7437" max="7437" width="12" style="1" bestFit="1" customWidth="1"/>
    <col min="7438" max="7438" width="18.7109375" style="1" bestFit="1" customWidth="1"/>
    <col min="7439" max="7680" width="11.42578125" style="1"/>
    <col min="7681" max="7681" width="8.85546875" style="1" bestFit="1" customWidth="1"/>
    <col min="7682" max="7682" width="10.140625" style="1" bestFit="1" customWidth="1"/>
    <col min="7683" max="7683" width="12.140625" style="1" bestFit="1" customWidth="1"/>
    <col min="7684" max="7684" width="4.5703125" style="1" bestFit="1" customWidth="1"/>
    <col min="7685" max="7685" width="11.28515625" style="1" bestFit="1" customWidth="1"/>
    <col min="7686" max="7686" width="13.28515625" style="1" bestFit="1" customWidth="1"/>
    <col min="7687" max="7687" width="12.140625" style="1" bestFit="1" customWidth="1"/>
    <col min="7688" max="7688" width="14.5703125" style="1" customWidth="1"/>
    <col min="7689" max="7690" width="12.140625" style="1" bestFit="1" customWidth="1"/>
    <col min="7691" max="7691" width="11.85546875" style="1" bestFit="1" customWidth="1"/>
    <col min="7692" max="7692" width="12.140625" style="1" bestFit="1" customWidth="1"/>
    <col min="7693" max="7693" width="12" style="1" bestFit="1" customWidth="1"/>
    <col min="7694" max="7694" width="18.7109375" style="1" bestFit="1" customWidth="1"/>
    <col min="7695" max="7936" width="11.42578125" style="1"/>
    <col min="7937" max="7937" width="8.85546875" style="1" bestFit="1" customWidth="1"/>
    <col min="7938" max="7938" width="10.140625" style="1" bestFit="1" customWidth="1"/>
    <col min="7939" max="7939" width="12.140625" style="1" bestFit="1" customWidth="1"/>
    <col min="7940" max="7940" width="4.5703125" style="1" bestFit="1" customWidth="1"/>
    <col min="7941" max="7941" width="11.28515625" style="1" bestFit="1" customWidth="1"/>
    <col min="7942" max="7942" width="13.28515625" style="1" bestFit="1" customWidth="1"/>
    <col min="7943" max="7943" width="12.140625" style="1" bestFit="1" customWidth="1"/>
    <col min="7944" max="7944" width="14.5703125" style="1" customWidth="1"/>
    <col min="7945" max="7946" width="12.140625" style="1" bestFit="1" customWidth="1"/>
    <col min="7947" max="7947" width="11.85546875" style="1" bestFit="1" customWidth="1"/>
    <col min="7948" max="7948" width="12.140625" style="1" bestFit="1" customWidth="1"/>
    <col min="7949" max="7949" width="12" style="1" bestFit="1" customWidth="1"/>
    <col min="7950" max="7950" width="18.7109375" style="1" bestFit="1" customWidth="1"/>
    <col min="7951" max="8192" width="11.42578125" style="1"/>
    <col min="8193" max="8193" width="8.85546875" style="1" bestFit="1" customWidth="1"/>
    <col min="8194" max="8194" width="10.140625" style="1" bestFit="1" customWidth="1"/>
    <col min="8195" max="8195" width="12.140625" style="1" bestFit="1" customWidth="1"/>
    <col min="8196" max="8196" width="4.5703125" style="1" bestFit="1" customWidth="1"/>
    <col min="8197" max="8197" width="11.28515625" style="1" bestFit="1" customWidth="1"/>
    <col min="8198" max="8198" width="13.28515625" style="1" bestFit="1" customWidth="1"/>
    <col min="8199" max="8199" width="12.140625" style="1" bestFit="1" customWidth="1"/>
    <col min="8200" max="8200" width="14.5703125" style="1" customWidth="1"/>
    <col min="8201" max="8202" width="12.140625" style="1" bestFit="1" customWidth="1"/>
    <col min="8203" max="8203" width="11.85546875" style="1" bestFit="1" customWidth="1"/>
    <col min="8204" max="8204" width="12.140625" style="1" bestFit="1" customWidth="1"/>
    <col min="8205" max="8205" width="12" style="1" bestFit="1" customWidth="1"/>
    <col min="8206" max="8206" width="18.7109375" style="1" bestFit="1" customWidth="1"/>
    <col min="8207" max="8448" width="11.42578125" style="1"/>
    <col min="8449" max="8449" width="8.85546875" style="1" bestFit="1" customWidth="1"/>
    <col min="8450" max="8450" width="10.140625" style="1" bestFit="1" customWidth="1"/>
    <col min="8451" max="8451" width="12.140625" style="1" bestFit="1" customWidth="1"/>
    <col min="8452" max="8452" width="4.5703125" style="1" bestFit="1" customWidth="1"/>
    <col min="8453" max="8453" width="11.28515625" style="1" bestFit="1" customWidth="1"/>
    <col min="8454" max="8454" width="13.28515625" style="1" bestFit="1" customWidth="1"/>
    <col min="8455" max="8455" width="12.140625" style="1" bestFit="1" customWidth="1"/>
    <col min="8456" max="8456" width="14.5703125" style="1" customWidth="1"/>
    <col min="8457" max="8458" width="12.140625" style="1" bestFit="1" customWidth="1"/>
    <col min="8459" max="8459" width="11.85546875" style="1" bestFit="1" customWidth="1"/>
    <col min="8460" max="8460" width="12.140625" style="1" bestFit="1" customWidth="1"/>
    <col min="8461" max="8461" width="12" style="1" bestFit="1" customWidth="1"/>
    <col min="8462" max="8462" width="18.7109375" style="1" bestFit="1" customWidth="1"/>
    <col min="8463" max="8704" width="11.42578125" style="1"/>
    <col min="8705" max="8705" width="8.85546875" style="1" bestFit="1" customWidth="1"/>
    <col min="8706" max="8706" width="10.140625" style="1" bestFit="1" customWidth="1"/>
    <col min="8707" max="8707" width="12.140625" style="1" bestFit="1" customWidth="1"/>
    <col min="8708" max="8708" width="4.5703125" style="1" bestFit="1" customWidth="1"/>
    <col min="8709" max="8709" width="11.28515625" style="1" bestFit="1" customWidth="1"/>
    <col min="8710" max="8710" width="13.28515625" style="1" bestFit="1" customWidth="1"/>
    <col min="8711" max="8711" width="12.140625" style="1" bestFit="1" customWidth="1"/>
    <col min="8712" max="8712" width="14.5703125" style="1" customWidth="1"/>
    <col min="8713" max="8714" width="12.140625" style="1" bestFit="1" customWidth="1"/>
    <col min="8715" max="8715" width="11.85546875" style="1" bestFit="1" customWidth="1"/>
    <col min="8716" max="8716" width="12.140625" style="1" bestFit="1" customWidth="1"/>
    <col min="8717" max="8717" width="12" style="1" bestFit="1" customWidth="1"/>
    <col min="8718" max="8718" width="18.7109375" style="1" bestFit="1" customWidth="1"/>
    <col min="8719" max="8960" width="11.42578125" style="1"/>
    <col min="8961" max="8961" width="8.85546875" style="1" bestFit="1" customWidth="1"/>
    <col min="8962" max="8962" width="10.140625" style="1" bestFit="1" customWidth="1"/>
    <col min="8963" max="8963" width="12.140625" style="1" bestFit="1" customWidth="1"/>
    <col min="8964" max="8964" width="4.5703125" style="1" bestFit="1" customWidth="1"/>
    <col min="8965" max="8965" width="11.28515625" style="1" bestFit="1" customWidth="1"/>
    <col min="8966" max="8966" width="13.28515625" style="1" bestFit="1" customWidth="1"/>
    <col min="8967" max="8967" width="12.140625" style="1" bestFit="1" customWidth="1"/>
    <col min="8968" max="8968" width="14.5703125" style="1" customWidth="1"/>
    <col min="8969" max="8970" width="12.140625" style="1" bestFit="1" customWidth="1"/>
    <col min="8971" max="8971" width="11.85546875" style="1" bestFit="1" customWidth="1"/>
    <col min="8972" max="8972" width="12.140625" style="1" bestFit="1" customWidth="1"/>
    <col min="8973" max="8973" width="12" style="1" bestFit="1" customWidth="1"/>
    <col min="8974" max="8974" width="18.7109375" style="1" bestFit="1" customWidth="1"/>
    <col min="8975" max="9216" width="11.42578125" style="1"/>
    <col min="9217" max="9217" width="8.85546875" style="1" bestFit="1" customWidth="1"/>
    <col min="9218" max="9218" width="10.140625" style="1" bestFit="1" customWidth="1"/>
    <col min="9219" max="9219" width="12.140625" style="1" bestFit="1" customWidth="1"/>
    <col min="9220" max="9220" width="4.5703125" style="1" bestFit="1" customWidth="1"/>
    <col min="9221" max="9221" width="11.28515625" style="1" bestFit="1" customWidth="1"/>
    <col min="9222" max="9222" width="13.28515625" style="1" bestFit="1" customWidth="1"/>
    <col min="9223" max="9223" width="12.140625" style="1" bestFit="1" customWidth="1"/>
    <col min="9224" max="9224" width="14.5703125" style="1" customWidth="1"/>
    <col min="9225" max="9226" width="12.140625" style="1" bestFit="1" customWidth="1"/>
    <col min="9227" max="9227" width="11.85546875" style="1" bestFit="1" customWidth="1"/>
    <col min="9228" max="9228" width="12.140625" style="1" bestFit="1" customWidth="1"/>
    <col min="9229" max="9229" width="12" style="1" bestFit="1" customWidth="1"/>
    <col min="9230" max="9230" width="18.7109375" style="1" bestFit="1" customWidth="1"/>
    <col min="9231" max="9472" width="11.42578125" style="1"/>
    <col min="9473" max="9473" width="8.85546875" style="1" bestFit="1" customWidth="1"/>
    <col min="9474" max="9474" width="10.140625" style="1" bestFit="1" customWidth="1"/>
    <col min="9475" max="9475" width="12.140625" style="1" bestFit="1" customWidth="1"/>
    <col min="9476" max="9476" width="4.5703125" style="1" bestFit="1" customWidth="1"/>
    <col min="9477" max="9477" width="11.28515625" style="1" bestFit="1" customWidth="1"/>
    <col min="9478" max="9478" width="13.28515625" style="1" bestFit="1" customWidth="1"/>
    <col min="9479" max="9479" width="12.140625" style="1" bestFit="1" customWidth="1"/>
    <col min="9480" max="9480" width="14.5703125" style="1" customWidth="1"/>
    <col min="9481" max="9482" width="12.140625" style="1" bestFit="1" customWidth="1"/>
    <col min="9483" max="9483" width="11.85546875" style="1" bestFit="1" customWidth="1"/>
    <col min="9484" max="9484" width="12.140625" style="1" bestFit="1" customWidth="1"/>
    <col min="9485" max="9485" width="12" style="1" bestFit="1" customWidth="1"/>
    <col min="9486" max="9486" width="18.7109375" style="1" bestFit="1" customWidth="1"/>
    <col min="9487" max="9728" width="11.42578125" style="1"/>
    <col min="9729" max="9729" width="8.85546875" style="1" bestFit="1" customWidth="1"/>
    <col min="9730" max="9730" width="10.140625" style="1" bestFit="1" customWidth="1"/>
    <col min="9731" max="9731" width="12.140625" style="1" bestFit="1" customWidth="1"/>
    <col min="9732" max="9732" width="4.5703125" style="1" bestFit="1" customWidth="1"/>
    <col min="9733" max="9733" width="11.28515625" style="1" bestFit="1" customWidth="1"/>
    <col min="9734" max="9734" width="13.28515625" style="1" bestFit="1" customWidth="1"/>
    <col min="9735" max="9735" width="12.140625" style="1" bestFit="1" customWidth="1"/>
    <col min="9736" max="9736" width="14.5703125" style="1" customWidth="1"/>
    <col min="9737" max="9738" width="12.140625" style="1" bestFit="1" customWidth="1"/>
    <col min="9739" max="9739" width="11.85546875" style="1" bestFit="1" customWidth="1"/>
    <col min="9740" max="9740" width="12.140625" style="1" bestFit="1" customWidth="1"/>
    <col min="9741" max="9741" width="12" style="1" bestFit="1" customWidth="1"/>
    <col min="9742" max="9742" width="18.7109375" style="1" bestFit="1" customWidth="1"/>
    <col min="9743" max="9984" width="11.42578125" style="1"/>
    <col min="9985" max="9985" width="8.85546875" style="1" bestFit="1" customWidth="1"/>
    <col min="9986" max="9986" width="10.140625" style="1" bestFit="1" customWidth="1"/>
    <col min="9987" max="9987" width="12.140625" style="1" bestFit="1" customWidth="1"/>
    <col min="9988" max="9988" width="4.5703125" style="1" bestFit="1" customWidth="1"/>
    <col min="9989" max="9989" width="11.28515625" style="1" bestFit="1" customWidth="1"/>
    <col min="9990" max="9990" width="13.28515625" style="1" bestFit="1" customWidth="1"/>
    <col min="9991" max="9991" width="12.140625" style="1" bestFit="1" customWidth="1"/>
    <col min="9992" max="9992" width="14.5703125" style="1" customWidth="1"/>
    <col min="9993" max="9994" width="12.140625" style="1" bestFit="1" customWidth="1"/>
    <col min="9995" max="9995" width="11.85546875" style="1" bestFit="1" customWidth="1"/>
    <col min="9996" max="9996" width="12.140625" style="1" bestFit="1" customWidth="1"/>
    <col min="9997" max="9997" width="12" style="1" bestFit="1" customWidth="1"/>
    <col min="9998" max="9998" width="18.7109375" style="1" bestFit="1" customWidth="1"/>
    <col min="9999" max="10240" width="11.42578125" style="1"/>
    <col min="10241" max="10241" width="8.85546875" style="1" bestFit="1" customWidth="1"/>
    <col min="10242" max="10242" width="10.140625" style="1" bestFit="1" customWidth="1"/>
    <col min="10243" max="10243" width="12.140625" style="1" bestFit="1" customWidth="1"/>
    <col min="10244" max="10244" width="4.5703125" style="1" bestFit="1" customWidth="1"/>
    <col min="10245" max="10245" width="11.28515625" style="1" bestFit="1" customWidth="1"/>
    <col min="10246" max="10246" width="13.28515625" style="1" bestFit="1" customWidth="1"/>
    <col min="10247" max="10247" width="12.140625" style="1" bestFit="1" customWidth="1"/>
    <col min="10248" max="10248" width="14.5703125" style="1" customWidth="1"/>
    <col min="10249" max="10250" width="12.140625" style="1" bestFit="1" customWidth="1"/>
    <col min="10251" max="10251" width="11.85546875" style="1" bestFit="1" customWidth="1"/>
    <col min="10252" max="10252" width="12.140625" style="1" bestFit="1" customWidth="1"/>
    <col min="10253" max="10253" width="12" style="1" bestFit="1" customWidth="1"/>
    <col min="10254" max="10254" width="18.7109375" style="1" bestFit="1" customWidth="1"/>
    <col min="10255" max="10496" width="11.42578125" style="1"/>
    <col min="10497" max="10497" width="8.85546875" style="1" bestFit="1" customWidth="1"/>
    <col min="10498" max="10498" width="10.140625" style="1" bestFit="1" customWidth="1"/>
    <col min="10499" max="10499" width="12.140625" style="1" bestFit="1" customWidth="1"/>
    <col min="10500" max="10500" width="4.5703125" style="1" bestFit="1" customWidth="1"/>
    <col min="10501" max="10501" width="11.28515625" style="1" bestFit="1" customWidth="1"/>
    <col min="10502" max="10502" width="13.28515625" style="1" bestFit="1" customWidth="1"/>
    <col min="10503" max="10503" width="12.140625" style="1" bestFit="1" customWidth="1"/>
    <col min="10504" max="10504" width="14.5703125" style="1" customWidth="1"/>
    <col min="10505" max="10506" width="12.140625" style="1" bestFit="1" customWidth="1"/>
    <col min="10507" max="10507" width="11.85546875" style="1" bestFit="1" customWidth="1"/>
    <col min="10508" max="10508" width="12.140625" style="1" bestFit="1" customWidth="1"/>
    <col min="10509" max="10509" width="12" style="1" bestFit="1" customWidth="1"/>
    <col min="10510" max="10510" width="18.7109375" style="1" bestFit="1" customWidth="1"/>
    <col min="10511" max="10752" width="11.42578125" style="1"/>
    <col min="10753" max="10753" width="8.85546875" style="1" bestFit="1" customWidth="1"/>
    <col min="10754" max="10754" width="10.140625" style="1" bestFit="1" customWidth="1"/>
    <col min="10755" max="10755" width="12.140625" style="1" bestFit="1" customWidth="1"/>
    <col min="10756" max="10756" width="4.5703125" style="1" bestFit="1" customWidth="1"/>
    <col min="10757" max="10757" width="11.28515625" style="1" bestFit="1" customWidth="1"/>
    <col min="10758" max="10758" width="13.28515625" style="1" bestFit="1" customWidth="1"/>
    <col min="10759" max="10759" width="12.140625" style="1" bestFit="1" customWidth="1"/>
    <col min="10760" max="10760" width="14.5703125" style="1" customWidth="1"/>
    <col min="10761" max="10762" width="12.140625" style="1" bestFit="1" customWidth="1"/>
    <col min="10763" max="10763" width="11.85546875" style="1" bestFit="1" customWidth="1"/>
    <col min="10764" max="10764" width="12.140625" style="1" bestFit="1" customWidth="1"/>
    <col min="10765" max="10765" width="12" style="1" bestFit="1" customWidth="1"/>
    <col min="10766" max="10766" width="18.7109375" style="1" bestFit="1" customWidth="1"/>
    <col min="10767" max="11008" width="11.42578125" style="1"/>
    <col min="11009" max="11009" width="8.85546875" style="1" bestFit="1" customWidth="1"/>
    <col min="11010" max="11010" width="10.140625" style="1" bestFit="1" customWidth="1"/>
    <col min="11011" max="11011" width="12.140625" style="1" bestFit="1" customWidth="1"/>
    <col min="11012" max="11012" width="4.5703125" style="1" bestFit="1" customWidth="1"/>
    <col min="11013" max="11013" width="11.28515625" style="1" bestFit="1" customWidth="1"/>
    <col min="11014" max="11014" width="13.28515625" style="1" bestFit="1" customWidth="1"/>
    <col min="11015" max="11015" width="12.140625" style="1" bestFit="1" customWidth="1"/>
    <col min="11016" max="11016" width="14.5703125" style="1" customWidth="1"/>
    <col min="11017" max="11018" width="12.140625" style="1" bestFit="1" customWidth="1"/>
    <col min="11019" max="11019" width="11.85546875" style="1" bestFit="1" customWidth="1"/>
    <col min="11020" max="11020" width="12.140625" style="1" bestFit="1" customWidth="1"/>
    <col min="11021" max="11021" width="12" style="1" bestFit="1" customWidth="1"/>
    <col min="11022" max="11022" width="18.7109375" style="1" bestFit="1" customWidth="1"/>
    <col min="11023" max="11264" width="11.42578125" style="1"/>
    <col min="11265" max="11265" width="8.85546875" style="1" bestFit="1" customWidth="1"/>
    <col min="11266" max="11266" width="10.140625" style="1" bestFit="1" customWidth="1"/>
    <col min="11267" max="11267" width="12.140625" style="1" bestFit="1" customWidth="1"/>
    <col min="11268" max="11268" width="4.5703125" style="1" bestFit="1" customWidth="1"/>
    <col min="11269" max="11269" width="11.28515625" style="1" bestFit="1" customWidth="1"/>
    <col min="11270" max="11270" width="13.28515625" style="1" bestFit="1" customWidth="1"/>
    <col min="11271" max="11271" width="12.140625" style="1" bestFit="1" customWidth="1"/>
    <col min="11272" max="11272" width="14.5703125" style="1" customWidth="1"/>
    <col min="11273" max="11274" width="12.140625" style="1" bestFit="1" customWidth="1"/>
    <col min="11275" max="11275" width="11.85546875" style="1" bestFit="1" customWidth="1"/>
    <col min="11276" max="11276" width="12.140625" style="1" bestFit="1" customWidth="1"/>
    <col min="11277" max="11277" width="12" style="1" bestFit="1" customWidth="1"/>
    <col min="11278" max="11278" width="18.7109375" style="1" bestFit="1" customWidth="1"/>
    <col min="11279" max="11520" width="11.42578125" style="1"/>
    <col min="11521" max="11521" width="8.85546875" style="1" bestFit="1" customWidth="1"/>
    <col min="11522" max="11522" width="10.140625" style="1" bestFit="1" customWidth="1"/>
    <col min="11523" max="11523" width="12.140625" style="1" bestFit="1" customWidth="1"/>
    <col min="11524" max="11524" width="4.5703125" style="1" bestFit="1" customWidth="1"/>
    <col min="11525" max="11525" width="11.28515625" style="1" bestFit="1" customWidth="1"/>
    <col min="11526" max="11526" width="13.28515625" style="1" bestFit="1" customWidth="1"/>
    <col min="11527" max="11527" width="12.140625" style="1" bestFit="1" customWidth="1"/>
    <col min="11528" max="11528" width="14.5703125" style="1" customWidth="1"/>
    <col min="11529" max="11530" width="12.140625" style="1" bestFit="1" customWidth="1"/>
    <col min="11531" max="11531" width="11.85546875" style="1" bestFit="1" customWidth="1"/>
    <col min="11532" max="11532" width="12.140625" style="1" bestFit="1" customWidth="1"/>
    <col min="11533" max="11533" width="12" style="1" bestFit="1" customWidth="1"/>
    <col min="11534" max="11534" width="18.7109375" style="1" bestFit="1" customWidth="1"/>
    <col min="11535" max="11776" width="11.42578125" style="1"/>
    <col min="11777" max="11777" width="8.85546875" style="1" bestFit="1" customWidth="1"/>
    <col min="11778" max="11778" width="10.140625" style="1" bestFit="1" customWidth="1"/>
    <col min="11779" max="11779" width="12.140625" style="1" bestFit="1" customWidth="1"/>
    <col min="11780" max="11780" width="4.5703125" style="1" bestFit="1" customWidth="1"/>
    <col min="11781" max="11781" width="11.28515625" style="1" bestFit="1" customWidth="1"/>
    <col min="11782" max="11782" width="13.28515625" style="1" bestFit="1" customWidth="1"/>
    <col min="11783" max="11783" width="12.140625" style="1" bestFit="1" customWidth="1"/>
    <col min="11784" max="11784" width="14.5703125" style="1" customWidth="1"/>
    <col min="11785" max="11786" width="12.140625" style="1" bestFit="1" customWidth="1"/>
    <col min="11787" max="11787" width="11.85546875" style="1" bestFit="1" customWidth="1"/>
    <col min="11788" max="11788" width="12.140625" style="1" bestFit="1" customWidth="1"/>
    <col min="11789" max="11789" width="12" style="1" bestFit="1" customWidth="1"/>
    <col min="11790" max="11790" width="18.7109375" style="1" bestFit="1" customWidth="1"/>
    <col min="11791" max="12032" width="11.42578125" style="1"/>
    <col min="12033" max="12033" width="8.85546875" style="1" bestFit="1" customWidth="1"/>
    <col min="12034" max="12034" width="10.140625" style="1" bestFit="1" customWidth="1"/>
    <col min="12035" max="12035" width="12.140625" style="1" bestFit="1" customWidth="1"/>
    <col min="12036" max="12036" width="4.5703125" style="1" bestFit="1" customWidth="1"/>
    <col min="12037" max="12037" width="11.28515625" style="1" bestFit="1" customWidth="1"/>
    <col min="12038" max="12038" width="13.28515625" style="1" bestFit="1" customWidth="1"/>
    <col min="12039" max="12039" width="12.140625" style="1" bestFit="1" customWidth="1"/>
    <col min="12040" max="12040" width="14.5703125" style="1" customWidth="1"/>
    <col min="12041" max="12042" width="12.140625" style="1" bestFit="1" customWidth="1"/>
    <col min="12043" max="12043" width="11.85546875" style="1" bestFit="1" customWidth="1"/>
    <col min="12044" max="12044" width="12.140625" style="1" bestFit="1" customWidth="1"/>
    <col min="12045" max="12045" width="12" style="1" bestFit="1" customWidth="1"/>
    <col min="12046" max="12046" width="18.7109375" style="1" bestFit="1" customWidth="1"/>
    <col min="12047" max="12288" width="11.42578125" style="1"/>
    <col min="12289" max="12289" width="8.85546875" style="1" bestFit="1" customWidth="1"/>
    <col min="12290" max="12290" width="10.140625" style="1" bestFit="1" customWidth="1"/>
    <col min="12291" max="12291" width="12.140625" style="1" bestFit="1" customWidth="1"/>
    <col min="12292" max="12292" width="4.5703125" style="1" bestFit="1" customWidth="1"/>
    <col min="12293" max="12293" width="11.28515625" style="1" bestFit="1" customWidth="1"/>
    <col min="12294" max="12294" width="13.28515625" style="1" bestFit="1" customWidth="1"/>
    <col min="12295" max="12295" width="12.140625" style="1" bestFit="1" customWidth="1"/>
    <col min="12296" max="12296" width="14.5703125" style="1" customWidth="1"/>
    <col min="12297" max="12298" width="12.140625" style="1" bestFit="1" customWidth="1"/>
    <col min="12299" max="12299" width="11.85546875" style="1" bestFit="1" customWidth="1"/>
    <col min="12300" max="12300" width="12.140625" style="1" bestFit="1" customWidth="1"/>
    <col min="12301" max="12301" width="12" style="1" bestFit="1" customWidth="1"/>
    <col min="12302" max="12302" width="18.7109375" style="1" bestFit="1" customWidth="1"/>
    <col min="12303" max="12544" width="11.42578125" style="1"/>
    <col min="12545" max="12545" width="8.85546875" style="1" bestFit="1" customWidth="1"/>
    <col min="12546" max="12546" width="10.140625" style="1" bestFit="1" customWidth="1"/>
    <col min="12547" max="12547" width="12.140625" style="1" bestFit="1" customWidth="1"/>
    <col min="12548" max="12548" width="4.5703125" style="1" bestFit="1" customWidth="1"/>
    <col min="12549" max="12549" width="11.28515625" style="1" bestFit="1" customWidth="1"/>
    <col min="12550" max="12550" width="13.28515625" style="1" bestFit="1" customWidth="1"/>
    <col min="12551" max="12551" width="12.140625" style="1" bestFit="1" customWidth="1"/>
    <col min="12552" max="12552" width="14.5703125" style="1" customWidth="1"/>
    <col min="12553" max="12554" width="12.140625" style="1" bestFit="1" customWidth="1"/>
    <col min="12555" max="12555" width="11.85546875" style="1" bestFit="1" customWidth="1"/>
    <col min="12556" max="12556" width="12.140625" style="1" bestFit="1" customWidth="1"/>
    <col min="12557" max="12557" width="12" style="1" bestFit="1" customWidth="1"/>
    <col min="12558" max="12558" width="18.7109375" style="1" bestFit="1" customWidth="1"/>
    <col min="12559" max="12800" width="11.42578125" style="1"/>
    <col min="12801" max="12801" width="8.85546875" style="1" bestFit="1" customWidth="1"/>
    <col min="12802" max="12802" width="10.140625" style="1" bestFit="1" customWidth="1"/>
    <col min="12803" max="12803" width="12.140625" style="1" bestFit="1" customWidth="1"/>
    <col min="12804" max="12804" width="4.5703125" style="1" bestFit="1" customWidth="1"/>
    <col min="12805" max="12805" width="11.28515625" style="1" bestFit="1" customWidth="1"/>
    <col min="12806" max="12806" width="13.28515625" style="1" bestFit="1" customWidth="1"/>
    <col min="12807" max="12807" width="12.140625" style="1" bestFit="1" customWidth="1"/>
    <col min="12808" max="12808" width="14.5703125" style="1" customWidth="1"/>
    <col min="12809" max="12810" width="12.140625" style="1" bestFit="1" customWidth="1"/>
    <col min="12811" max="12811" width="11.85546875" style="1" bestFit="1" customWidth="1"/>
    <col min="12812" max="12812" width="12.140625" style="1" bestFit="1" customWidth="1"/>
    <col min="12813" max="12813" width="12" style="1" bestFit="1" customWidth="1"/>
    <col min="12814" max="12814" width="18.7109375" style="1" bestFit="1" customWidth="1"/>
    <col min="12815" max="13056" width="11.42578125" style="1"/>
    <col min="13057" max="13057" width="8.85546875" style="1" bestFit="1" customWidth="1"/>
    <col min="13058" max="13058" width="10.140625" style="1" bestFit="1" customWidth="1"/>
    <col min="13059" max="13059" width="12.140625" style="1" bestFit="1" customWidth="1"/>
    <col min="13060" max="13060" width="4.5703125" style="1" bestFit="1" customWidth="1"/>
    <col min="13061" max="13061" width="11.28515625" style="1" bestFit="1" customWidth="1"/>
    <col min="13062" max="13062" width="13.28515625" style="1" bestFit="1" customWidth="1"/>
    <col min="13063" max="13063" width="12.140625" style="1" bestFit="1" customWidth="1"/>
    <col min="13064" max="13064" width="14.5703125" style="1" customWidth="1"/>
    <col min="13065" max="13066" width="12.140625" style="1" bestFit="1" customWidth="1"/>
    <col min="13067" max="13067" width="11.85546875" style="1" bestFit="1" customWidth="1"/>
    <col min="13068" max="13068" width="12.140625" style="1" bestFit="1" customWidth="1"/>
    <col min="13069" max="13069" width="12" style="1" bestFit="1" customWidth="1"/>
    <col min="13070" max="13070" width="18.7109375" style="1" bestFit="1" customWidth="1"/>
    <col min="13071" max="13312" width="11.42578125" style="1"/>
    <col min="13313" max="13313" width="8.85546875" style="1" bestFit="1" customWidth="1"/>
    <col min="13314" max="13314" width="10.140625" style="1" bestFit="1" customWidth="1"/>
    <col min="13315" max="13315" width="12.140625" style="1" bestFit="1" customWidth="1"/>
    <col min="13316" max="13316" width="4.5703125" style="1" bestFit="1" customWidth="1"/>
    <col min="13317" max="13317" width="11.28515625" style="1" bestFit="1" customWidth="1"/>
    <col min="13318" max="13318" width="13.28515625" style="1" bestFit="1" customWidth="1"/>
    <col min="13319" max="13319" width="12.140625" style="1" bestFit="1" customWidth="1"/>
    <col min="13320" max="13320" width="14.5703125" style="1" customWidth="1"/>
    <col min="13321" max="13322" width="12.140625" style="1" bestFit="1" customWidth="1"/>
    <col min="13323" max="13323" width="11.85546875" style="1" bestFit="1" customWidth="1"/>
    <col min="13324" max="13324" width="12.140625" style="1" bestFit="1" customWidth="1"/>
    <col min="13325" max="13325" width="12" style="1" bestFit="1" customWidth="1"/>
    <col min="13326" max="13326" width="18.7109375" style="1" bestFit="1" customWidth="1"/>
    <col min="13327" max="13568" width="11.42578125" style="1"/>
    <col min="13569" max="13569" width="8.85546875" style="1" bestFit="1" customWidth="1"/>
    <col min="13570" max="13570" width="10.140625" style="1" bestFit="1" customWidth="1"/>
    <col min="13571" max="13571" width="12.140625" style="1" bestFit="1" customWidth="1"/>
    <col min="13572" max="13572" width="4.5703125" style="1" bestFit="1" customWidth="1"/>
    <col min="13573" max="13573" width="11.28515625" style="1" bestFit="1" customWidth="1"/>
    <col min="13574" max="13574" width="13.28515625" style="1" bestFit="1" customWidth="1"/>
    <col min="13575" max="13575" width="12.140625" style="1" bestFit="1" customWidth="1"/>
    <col min="13576" max="13576" width="14.5703125" style="1" customWidth="1"/>
    <col min="13577" max="13578" width="12.140625" style="1" bestFit="1" customWidth="1"/>
    <col min="13579" max="13579" width="11.85546875" style="1" bestFit="1" customWidth="1"/>
    <col min="13580" max="13580" width="12.140625" style="1" bestFit="1" customWidth="1"/>
    <col min="13581" max="13581" width="12" style="1" bestFit="1" customWidth="1"/>
    <col min="13582" max="13582" width="18.7109375" style="1" bestFit="1" customWidth="1"/>
    <col min="13583" max="13824" width="11.42578125" style="1"/>
    <col min="13825" max="13825" width="8.85546875" style="1" bestFit="1" customWidth="1"/>
    <col min="13826" max="13826" width="10.140625" style="1" bestFit="1" customWidth="1"/>
    <col min="13827" max="13827" width="12.140625" style="1" bestFit="1" customWidth="1"/>
    <col min="13828" max="13828" width="4.5703125" style="1" bestFit="1" customWidth="1"/>
    <col min="13829" max="13829" width="11.28515625" style="1" bestFit="1" customWidth="1"/>
    <col min="13830" max="13830" width="13.28515625" style="1" bestFit="1" customWidth="1"/>
    <col min="13831" max="13831" width="12.140625" style="1" bestFit="1" customWidth="1"/>
    <col min="13832" max="13832" width="14.5703125" style="1" customWidth="1"/>
    <col min="13833" max="13834" width="12.140625" style="1" bestFit="1" customWidth="1"/>
    <col min="13835" max="13835" width="11.85546875" style="1" bestFit="1" customWidth="1"/>
    <col min="13836" max="13836" width="12.140625" style="1" bestFit="1" customWidth="1"/>
    <col min="13837" max="13837" width="12" style="1" bestFit="1" customWidth="1"/>
    <col min="13838" max="13838" width="18.7109375" style="1" bestFit="1" customWidth="1"/>
    <col min="13839" max="14080" width="11.42578125" style="1"/>
    <col min="14081" max="14081" width="8.85546875" style="1" bestFit="1" customWidth="1"/>
    <col min="14082" max="14082" width="10.140625" style="1" bestFit="1" customWidth="1"/>
    <col min="14083" max="14083" width="12.140625" style="1" bestFit="1" customWidth="1"/>
    <col min="14084" max="14084" width="4.5703125" style="1" bestFit="1" customWidth="1"/>
    <col min="14085" max="14085" width="11.28515625" style="1" bestFit="1" customWidth="1"/>
    <col min="14086" max="14086" width="13.28515625" style="1" bestFit="1" customWidth="1"/>
    <col min="14087" max="14087" width="12.140625" style="1" bestFit="1" customWidth="1"/>
    <col min="14088" max="14088" width="14.5703125" style="1" customWidth="1"/>
    <col min="14089" max="14090" width="12.140625" style="1" bestFit="1" customWidth="1"/>
    <col min="14091" max="14091" width="11.85546875" style="1" bestFit="1" customWidth="1"/>
    <col min="14092" max="14092" width="12.140625" style="1" bestFit="1" customWidth="1"/>
    <col min="14093" max="14093" width="12" style="1" bestFit="1" customWidth="1"/>
    <col min="14094" max="14094" width="18.7109375" style="1" bestFit="1" customWidth="1"/>
    <col min="14095" max="14336" width="11.42578125" style="1"/>
    <col min="14337" max="14337" width="8.85546875" style="1" bestFit="1" customWidth="1"/>
    <col min="14338" max="14338" width="10.140625" style="1" bestFit="1" customWidth="1"/>
    <col min="14339" max="14339" width="12.140625" style="1" bestFit="1" customWidth="1"/>
    <col min="14340" max="14340" width="4.5703125" style="1" bestFit="1" customWidth="1"/>
    <col min="14341" max="14341" width="11.28515625" style="1" bestFit="1" customWidth="1"/>
    <col min="14342" max="14342" width="13.28515625" style="1" bestFit="1" customWidth="1"/>
    <col min="14343" max="14343" width="12.140625" style="1" bestFit="1" customWidth="1"/>
    <col min="14344" max="14344" width="14.5703125" style="1" customWidth="1"/>
    <col min="14345" max="14346" width="12.140625" style="1" bestFit="1" customWidth="1"/>
    <col min="14347" max="14347" width="11.85546875" style="1" bestFit="1" customWidth="1"/>
    <col min="14348" max="14348" width="12.140625" style="1" bestFit="1" customWidth="1"/>
    <col min="14349" max="14349" width="12" style="1" bestFit="1" customWidth="1"/>
    <col min="14350" max="14350" width="18.7109375" style="1" bestFit="1" customWidth="1"/>
    <col min="14351" max="14592" width="11.42578125" style="1"/>
    <col min="14593" max="14593" width="8.85546875" style="1" bestFit="1" customWidth="1"/>
    <col min="14594" max="14594" width="10.140625" style="1" bestFit="1" customWidth="1"/>
    <col min="14595" max="14595" width="12.140625" style="1" bestFit="1" customWidth="1"/>
    <col min="14596" max="14596" width="4.5703125" style="1" bestFit="1" customWidth="1"/>
    <col min="14597" max="14597" width="11.28515625" style="1" bestFit="1" customWidth="1"/>
    <col min="14598" max="14598" width="13.28515625" style="1" bestFit="1" customWidth="1"/>
    <col min="14599" max="14599" width="12.140625" style="1" bestFit="1" customWidth="1"/>
    <col min="14600" max="14600" width="14.5703125" style="1" customWidth="1"/>
    <col min="14601" max="14602" width="12.140625" style="1" bestFit="1" customWidth="1"/>
    <col min="14603" max="14603" width="11.85546875" style="1" bestFit="1" customWidth="1"/>
    <col min="14604" max="14604" width="12.140625" style="1" bestFit="1" customWidth="1"/>
    <col min="14605" max="14605" width="12" style="1" bestFit="1" customWidth="1"/>
    <col min="14606" max="14606" width="18.7109375" style="1" bestFit="1" customWidth="1"/>
    <col min="14607" max="14848" width="11.42578125" style="1"/>
    <col min="14849" max="14849" width="8.85546875" style="1" bestFit="1" customWidth="1"/>
    <col min="14850" max="14850" width="10.140625" style="1" bestFit="1" customWidth="1"/>
    <col min="14851" max="14851" width="12.140625" style="1" bestFit="1" customWidth="1"/>
    <col min="14852" max="14852" width="4.5703125" style="1" bestFit="1" customWidth="1"/>
    <col min="14853" max="14853" width="11.28515625" style="1" bestFit="1" customWidth="1"/>
    <col min="14854" max="14854" width="13.28515625" style="1" bestFit="1" customWidth="1"/>
    <col min="14855" max="14855" width="12.140625" style="1" bestFit="1" customWidth="1"/>
    <col min="14856" max="14856" width="14.5703125" style="1" customWidth="1"/>
    <col min="14857" max="14858" width="12.140625" style="1" bestFit="1" customWidth="1"/>
    <col min="14859" max="14859" width="11.85546875" style="1" bestFit="1" customWidth="1"/>
    <col min="14860" max="14860" width="12.140625" style="1" bestFit="1" customWidth="1"/>
    <col min="14861" max="14861" width="12" style="1" bestFit="1" customWidth="1"/>
    <col min="14862" max="14862" width="18.7109375" style="1" bestFit="1" customWidth="1"/>
    <col min="14863" max="15104" width="11.42578125" style="1"/>
    <col min="15105" max="15105" width="8.85546875" style="1" bestFit="1" customWidth="1"/>
    <col min="15106" max="15106" width="10.140625" style="1" bestFit="1" customWidth="1"/>
    <col min="15107" max="15107" width="12.140625" style="1" bestFit="1" customWidth="1"/>
    <col min="15108" max="15108" width="4.5703125" style="1" bestFit="1" customWidth="1"/>
    <col min="15109" max="15109" width="11.28515625" style="1" bestFit="1" customWidth="1"/>
    <col min="15110" max="15110" width="13.28515625" style="1" bestFit="1" customWidth="1"/>
    <col min="15111" max="15111" width="12.140625" style="1" bestFit="1" customWidth="1"/>
    <col min="15112" max="15112" width="14.5703125" style="1" customWidth="1"/>
    <col min="15113" max="15114" width="12.140625" style="1" bestFit="1" customWidth="1"/>
    <col min="15115" max="15115" width="11.85546875" style="1" bestFit="1" customWidth="1"/>
    <col min="15116" max="15116" width="12.140625" style="1" bestFit="1" customWidth="1"/>
    <col min="15117" max="15117" width="12" style="1" bestFit="1" customWidth="1"/>
    <col min="15118" max="15118" width="18.7109375" style="1" bestFit="1" customWidth="1"/>
    <col min="15119" max="15360" width="11.42578125" style="1"/>
    <col min="15361" max="15361" width="8.85546875" style="1" bestFit="1" customWidth="1"/>
    <col min="15362" max="15362" width="10.140625" style="1" bestFit="1" customWidth="1"/>
    <col min="15363" max="15363" width="12.140625" style="1" bestFit="1" customWidth="1"/>
    <col min="15364" max="15364" width="4.5703125" style="1" bestFit="1" customWidth="1"/>
    <col min="15365" max="15365" width="11.28515625" style="1" bestFit="1" customWidth="1"/>
    <col min="15366" max="15366" width="13.28515625" style="1" bestFit="1" customWidth="1"/>
    <col min="15367" max="15367" width="12.140625" style="1" bestFit="1" customWidth="1"/>
    <col min="15368" max="15368" width="14.5703125" style="1" customWidth="1"/>
    <col min="15369" max="15370" width="12.140625" style="1" bestFit="1" customWidth="1"/>
    <col min="15371" max="15371" width="11.85546875" style="1" bestFit="1" customWidth="1"/>
    <col min="15372" max="15372" width="12.140625" style="1" bestFit="1" customWidth="1"/>
    <col min="15373" max="15373" width="12" style="1" bestFit="1" customWidth="1"/>
    <col min="15374" max="15374" width="18.7109375" style="1" bestFit="1" customWidth="1"/>
    <col min="15375" max="15616" width="11.42578125" style="1"/>
    <col min="15617" max="15617" width="8.85546875" style="1" bestFit="1" customWidth="1"/>
    <col min="15618" max="15618" width="10.140625" style="1" bestFit="1" customWidth="1"/>
    <col min="15619" max="15619" width="12.140625" style="1" bestFit="1" customWidth="1"/>
    <col min="15620" max="15620" width="4.5703125" style="1" bestFit="1" customWidth="1"/>
    <col min="15621" max="15621" width="11.28515625" style="1" bestFit="1" customWidth="1"/>
    <col min="15622" max="15622" width="13.28515625" style="1" bestFit="1" customWidth="1"/>
    <col min="15623" max="15623" width="12.140625" style="1" bestFit="1" customWidth="1"/>
    <col min="15624" max="15624" width="14.5703125" style="1" customWidth="1"/>
    <col min="15625" max="15626" width="12.140625" style="1" bestFit="1" customWidth="1"/>
    <col min="15627" max="15627" width="11.85546875" style="1" bestFit="1" customWidth="1"/>
    <col min="15628" max="15628" width="12.140625" style="1" bestFit="1" customWidth="1"/>
    <col min="15629" max="15629" width="12" style="1" bestFit="1" customWidth="1"/>
    <col min="15630" max="15630" width="18.7109375" style="1" bestFit="1" customWidth="1"/>
    <col min="15631" max="15872" width="11.42578125" style="1"/>
    <col min="15873" max="15873" width="8.85546875" style="1" bestFit="1" customWidth="1"/>
    <col min="15874" max="15874" width="10.140625" style="1" bestFit="1" customWidth="1"/>
    <col min="15875" max="15875" width="12.140625" style="1" bestFit="1" customWidth="1"/>
    <col min="15876" max="15876" width="4.5703125" style="1" bestFit="1" customWidth="1"/>
    <col min="15877" max="15877" width="11.28515625" style="1" bestFit="1" customWidth="1"/>
    <col min="15878" max="15878" width="13.28515625" style="1" bestFit="1" customWidth="1"/>
    <col min="15879" max="15879" width="12.140625" style="1" bestFit="1" customWidth="1"/>
    <col min="15880" max="15880" width="14.5703125" style="1" customWidth="1"/>
    <col min="15881" max="15882" width="12.140625" style="1" bestFit="1" customWidth="1"/>
    <col min="15883" max="15883" width="11.85546875" style="1" bestFit="1" customWidth="1"/>
    <col min="15884" max="15884" width="12.140625" style="1" bestFit="1" customWidth="1"/>
    <col min="15885" max="15885" width="12" style="1" bestFit="1" customWidth="1"/>
    <col min="15886" max="15886" width="18.7109375" style="1" bestFit="1" customWidth="1"/>
    <col min="15887" max="16128" width="11.42578125" style="1"/>
    <col min="16129" max="16129" width="8.85546875" style="1" bestFit="1" customWidth="1"/>
    <col min="16130" max="16130" width="10.140625" style="1" bestFit="1" customWidth="1"/>
    <col min="16131" max="16131" width="12.140625" style="1" bestFit="1" customWidth="1"/>
    <col min="16132" max="16132" width="4.5703125" style="1" bestFit="1" customWidth="1"/>
    <col min="16133" max="16133" width="11.28515625" style="1" bestFit="1" customWidth="1"/>
    <col min="16134" max="16134" width="13.28515625" style="1" bestFit="1" customWidth="1"/>
    <col min="16135" max="16135" width="12.140625" style="1" bestFit="1" customWidth="1"/>
    <col min="16136" max="16136" width="14.5703125" style="1" customWidth="1"/>
    <col min="16137" max="16138" width="12.140625" style="1" bestFit="1" customWidth="1"/>
    <col min="16139" max="16139" width="11.85546875" style="1" bestFit="1" customWidth="1"/>
    <col min="16140" max="16140" width="12.140625" style="1" bestFit="1" customWidth="1"/>
    <col min="16141" max="16141" width="12" style="1" bestFit="1" customWidth="1"/>
    <col min="16142" max="16142" width="18.7109375" style="1" bestFit="1" customWidth="1"/>
    <col min="16143" max="16384" width="11.42578125" style="1"/>
  </cols>
  <sheetData>
    <row r="1" spans="1:17" ht="13.5" thickBot="1"/>
    <row r="2" spans="1:17" ht="13.5" thickBot="1">
      <c r="A2" s="897" t="s">
        <v>0</v>
      </c>
      <c r="B2" s="895" t="s">
        <v>1</v>
      </c>
      <c r="C2" s="895"/>
      <c r="D2" s="895"/>
      <c r="E2" s="895"/>
      <c r="F2" s="895"/>
      <c r="G2" s="895"/>
      <c r="H2" s="896" t="s">
        <v>2</v>
      </c>
      <c r="I2" s="896"/>
      <c r="J2" s="896"/>
      <c r="K2" s="896" t="s">
        <v>3</v>
      </c>
      <c r="L2" s="896"/>
      <c r="M2" s="897" t="s">
        <v>4</v>
      </c>
    </row>
    <row r="3" spans="1:17" ht="13.5" thickBot="1">
      <c r="A3" s="897"/>
      <c r="B3" s="554" t="s">
        <v>5</v>
      </c>
      <c r="C3" s="554" t="s">
        <v>6</v>
      </c>
      <c r="D3" s="554" t="s">
        <v>7</v>
      </c>
      <c r="E3" s="29" t="s">
        <v>8</v>
      </c>
      <c r="F3" s="28" t="s">
        <v>9</v>
      </c>
      <c r="G3" s="555" t="s">
        <v>10</v>
      </c>
      <c r="H3" s="28" t="s">
        <v>11</v>
      </c>
      <c r="I3" s="554" t="s">
        <v>12</v>
      </c>
      <c r="J3" s="555" t="s">
        <v>13</v>
      </c>
      <c r="K3" s="29" t="s">
        <v>11</v>
      </c>
      <c r="L3" s="555" t="s">
        <v>14</v>
      </c>
      <c r="M3" s="897"/>
    </row>
    <row r="4" spans="1:17" s="6" customFormat="1" ht="13.5" hidden="1" thickBot="1">
      <c r="A4" s="172" t="s">
        <v>17</v>
      </c>
      <c r="B4" s="173" t="s">
        <v>18</v>
      </c>
      <c r="C4" s="174">
        <v>42338</v>
      </c>
      <c r="D4" s="175" t="s">
        <v>19</v>
      </c>
      <c r="E4" s="176">
        <v>185713.44</v>
      </c>
      <c r="F4" s="177">
        <f>+E4*2.0433</f>
        <v>379468.27195199998</v>
      </c>
      <c r="G4" s="178">
        <v>42459</v>
      </c>
      <c r="H4" s="179">
        <v>305000</v>
      </c>
      <c r="I4" s="174"/>
      <c r="J4" s="178">
        <f>+C4+90</f>
        <v>42428</v>
      </c>
      <c r="K4" s="180">
        <f>90414.1+83300*1.12825</f>
        <v>184397.32500000001</v>
      </c>
      <c r="L4" s="181"/>
      <c r="M4" s="182">
        <f t="shared" ref="M4:M17" si="0">E4-K4</f>
        <v>1316.1149999999907</v>
      </c>
      <c r="N4" s="160"/>
      <c r="O4" s="7"/>
      <c r="Q4" s="84"/>
    </row>
    <row r="5" spans="1:17" s="6" customFormat="1" hidden="1">
      <c r="A5" s="183" t="s">
        <v>21</v>
      </c>
      <c r="B5" s="184" t="s">
        <v>22</v>
      </c>
      <c r="C5" s="185">
        <v>42389</v>
      </c>
      <c r="D5" s="186" t="s">
        <v>19</v>
      </c>
      <c r="E5" s="187">
        <v>57547.5</v>
      </c>
      <c r="F5" s="188">
        <f>E5*2.0365</f>
        <v>117195.48375000001</v>
      </c>
      <c r="G5" s="189">
        <v>42479</v>
      </c>
      <c r="H5" s="190"/>
      <c r="I5" s="185"/>
      <c r="J5" s="189"/>
      <c r="K5" s="191">
        <v>57547.5</v>
      </c>
      <c r="L5" s="192"/>
      <c r="M5" s="193">
        <f t="shared" si="0"/>
        <v>0</v>
      </c>
      <c r="N5" s="160"/>
      <c r="O5" s="7"/>
      <c r="Q5" s="84"/>
    </row>
    <row r="6" spans="1:17" s="6" customFormat="1" hidden="1">
      <c r="A6" s="140" t="s">
        <v>15</v>
      </c>
      <c r="B6" s="141" t="s">
        <v>23</v>
      </c>
      <c r="C6" s="142">
        <v>42394</v>
      </c>
      <c r="D6" s="143" t="s">
        <v>19</v>
      </c>
      <c r="E6" s="144">
        <v>61973.64</v>
      </c>
      <c r="F6" s="145">
        <f>E6*2.03285</f>
        <v>125983.11407399998</v>
      </c>
      <c r="G6" s="146">
        <v>42484</v>
      </c>
      <c r="H6" s="147"/>
      <c r="I6" s="142"/>
      <c r="J6" s="146"/>
      <c r="K6" s="149">
        <v>61973.64</v>
      </c>
      <c r="L6" s="148"/>
      <c r="M6" s="150">
        <f t="shared" si="0"/>
        <v>0</v>
      </c>
      <c r="N6" s="160"/>
      <c r="O6" s="7"/>
      <c r="Q6" s="84"/>
    </row>
    <row r="7" spans="1:17" s="6" customFormat="1" hidden="1">
      <c r="A7" s="140" t="s">
        <v>15</v>
      </c>
      <c r="B7" s="141" t="s">
        <v>24</v>
      </c>
      <c r="C7" s="142">
        <v>42422</v>
      </c>
      <c r="D7" s="143" t="s">
        <v>19</v>
      </c>
      <c r="E7" s="144">
        <v>31260.71</v>
      </c>
      <c r="F7" s="145">
        <f>+E7*2.0168</f>
        <v>63046.599927999996</v>
      </c>
      <c r="G7" s="146">
        <f>+C7+90</f>
        <v>42512</v>
      </c>
      <c r="H7" s="147"/>
      <c r="I7" s="142"/>
      <c r="J7" s="146"/>
      <c r="K7" s="149">
        <v>31182.71</v>
      </c>
      <c r="L7" s="148"/>
      <c r="M7" s="150">
        <f t="shared" si="0"/>
        <v>78</v>
      </c>
      <c r="N7" s="160"/>
      <c r="O7" s="7"/>
      <c r="Q7" s="84"/>
    </row>
    <row r="8" spans="1:17" s="6" customFormat="1" hidden="1">
      <c r="A8" s="140" t="s">
        <v>17</v>
      </c>
      <c r="B8" s="141" t="s">
        <v>25</v>
      </c>
      <c r="C8" s="142">
        <v>42432</v>
      </c>
      <c r="D8" s="143" t="s">
        <v>19</v>
      </c>
      <c r="E8" s="144">
        <v>97110.5</v>
      </c>
      <c r="F8" s="145">
        <f>E8*2.02425</f>
        <v>196575.92962499999</v>
      </c>
      <c r="G8" s="146">
        <v>42567</v>
      </c>
      <c r="H8" s="147"/>
      <c r="I8" s="142"/>
      <c r="J8" s="146"/>
      <c r="K8" s="149">
        <f>12997+84054</f>
        <v>97051</v>
      </c>
      <c r="L8" s="148"/>
      <c r="M8" s="150">
        <f t="shared" si="0"/>
        <v>59.5</v>
      </c>
      <c r="N8" s="160"/>
      <c r="O8" s="7"/>
      <c r="Q8" s="84"/>
    </row>
    <row r="9" spans="1:17" s="5" customFormat="1" hidden="1">
      <c r="A9" s="140" t="s">
        <v>15</v>
      </c>
      <c r="B9" s="141" t="s">
        <v>39</v>
      </c>
      <c r="C9" s="142">
        <v>42445</v>
      </c>
      <c r="D9" s="143" t="s">
        <v>19</v>
      </c>
      <c r="E9" s="144">
        <v>17500.78</v>
      </c>
      <c r="F9" s="145">
        <f>+E9*2.01395</f>
        <v>35245.695881</v>
      </c>
      <c r="G9" s="146">
        <f>C9+90</f>
        <v>42535</v>
      </c>
      <c r="H9" s="147"/>
      <c r="I9" s="142"/>
      <c r="J9" s="146"/>
      <c r="K9" s="149">
        <v>17437.78</v>
      </c>
      <c r="L9" s="148"/>
      <c r="M9" s="150">
        <f t="shared" si="0"/>
        <v>63</v>
      </c>
      <c r="N9" s="160"/>
      <c r="O9" s="47"/>
      <c r="Q9" s="160"/>
    </row>
    <row r="10" spans="1:17" s="5" customFormat="1" hidden="1">
      <c r="A10" s="140" t="s">
        <v>17</v>
      </c>
      <c r="B10" s="141" t="s">
        <v>44</v>
      </c>
      <c r="C10" s="142">
        <v>42461</v>
      </c>
      <c r="D10" s="143" t="s">
        <v>19</v>
      </c>
      <c r="E10" s="144">
        <v>15887.8</v>
      </c>
      <c r="F10" s="145">
        <f>E10*1.98505</f>
        <v>31538.077389999999</v>
      </c>
      <c r="G10" s="146">
        <v>42585</v>
      </c>
      <c r="H10" s="147"/>
      <c r="I10" s="142"/>
      <c r="J10" s="146"/>
      <c r="K10" s="149">
        <f>2196.38+13625</f>
        <v>15821.380000000001</v>
      </c>
      <c r="L10" s="148"/>
      <c r="M10" s="150">
        <f t="shared" si="0"/>
        <v>66.419999999998254</v>
      </c>
      <c r="N10" s="160"/>
      <c r="O10" s="47"/>
      <c r="Q10" s="160"/>
    </row>
    <row r="11" spans="1:17" s="5" customFormat="1" hidden="1">
      <c r="A11" s="140" t="s">
        <v>15</v>
      </c>
      <c r="B11" s="141" t="s">
        <v>83</v>
      </c>
      <c r="C11" s="142">
        <v>42495</v>
      </c>
      <c r="D11" s="143" t="s">
        <v>19</v>
      </c>
      <c r="E11" s="144">
        <v>13784.67</v>
      </c>
      <c r="F11" s="145">
        <f>+E11*1.98675</f>
        <v>27386.693122500001</v>
      </c>
      <c r="G11" s="146">
        <f>+C11+90</f>
        <v>42585</v>
      </c>
      <c r="H11" s="147"/>
      <c r="I11" s="142"/>
      <c r="J11" s="146"/>
      <c r="K11" s="149">
        <v>13719.17</v>
      </c>
      <c r="L11" s="148"/>
      <c r="M11" s="150">
        <f t="shared" si="0"/>
        <v>65.5</v>
      </c>
      <c r="N11" s="160"/>
      <c r="O11" s="47"/>
      <c r="Q11" s="160"/>
    </row>
    <row r="12" spans="1:17" s="4" customFormat="1" hidden="1">
      <c r="A12" s="223" t="s">
        <v>15</v>
      </c>
      <c r="B12" s="224" t="s">
        <v>84</v>
      </c>
      <c r="C12" s="225">
        <v>42495</v>
      </c>
      <c r="D12" s="226" t="s">
        <v>16</v>
      </c>
      <c r="E12" s="227">
        <v>58790.64</v>
      </c>
      <c r="F12" s="228">
        <f>+E12*2.2687</f>
        <v>133378.324968</v>
      </c>
      <c r="G12" s="231">
        <f>+C12+90</f>
        <v>42585</v>
      </c>
      <c r="H12" s="230"/>
      <c r="I12" s="225"/>
      <c r="J12" s="231"/>
      <c r="K12" s="232">
        <f>46740.64+11960</f>
        <v>58700.639999999999</v>
      </c>
      <c r="L12" s="233"/>
      <c r="M12" s="234">
        <f t="shared" si="0"/>
        <v>90</v>
      </c>
      <c r="N12" s="326"/>
      <c r="O12" s="47"/>
      <c r="Q12" s="326"/>
    </row>
    <row r="13" spans="1:17" s="6" customFormat="1" hidden="1">
      <c r="A13" s="140" t="s">
        <v>17</v>
      </c>
      <c r="B13" s="141" t="s">
        <v>88</v>
      </c>
      <c r="C13" s="142">
        <v>42506</v>
      </c>
      <c r="D13" s="143" t="s">
        <v>19</v>
      </c>
      <c r="E13" s="144">
        <v>38827.5</v>
      </c>
      <c r="F13" s="145">
        <f>+E13*2.0226</f>
        <v>78532.501500000013</v>
      </c>
      <c r="G13" s="146">
        <v>42630</v>
      </c>
      <c r="H13" s="147"/>
      <c r="I13" s="142"/>
      <c r="J13" s="146"/>
      <c r="K13" s="149">
        <f>5188.54+33549.74</f>
        <v>38738.28</v>
      </c>
      <c r="L13" s="148"/>
      <c r="M13" s="150">
        <f t="shared" si="0"/>
        <v>89.220000000001164</v>
      </c>
      <c r="N13" s="160"/>
      <c r="O13" s="7"/>
      <c r="Q13" s="84"/>
    </row>
    <row r="14" spans="1:17" s="5" customFormat="1" hidden="1">
      <c r="A14" s="140" t="s">
        <v>17</v>
      </c>
      <c r="B14" s="141" t="s">
        <v>131</v>
      </c>
      <c r="C14" s="142">
        <v>42542</v>
      </c>
      <c r="D14" s="143" t="s">
        <v>19</v>
      </c>
      <c r="E14" s="144">
        <v>37074</v>
      </c>
      <c r="F14" s="145">
        <f>+E14*2.14625</f>
        <v>79570.072500000009</v>
      </c>
      <c r="G14" s="146">
        <v>42669</v>
      </c>
      <c r="H14" s="147"/>
      <c r="I14" s="142"/>
      <c r="J14" s="146"/>
      <c r="K14" s="149">
        <f>13578+5163.9+18217.5</f>
        <v>36959.4</v>
      </c>
      <c r="L14" s="148"/>
      <c r="M14" s="150">
        <f t="shared" si="0"/>
        <v>114.59999999999854</v>
      </c>
      <c r="N14" s="160"/>
      <c r="O14" s="47"/>
      <c r="P14" s="160"/>
      <c r="Q14" s="160"/>
    </row>
    <row r="15" spans="1:17" s="5" customFormat="1" hidden="1">
      <c r="A15" s="140" t="s">
        <v>17</v>
      </c>
      <c r="B15" s="141" t="s">
        <v>132</v>
      </c>
      <c r="C15" s="142">
        <v>42542</v>
      </c>
      <c r="D15" s="143" t="s">
        <v>19</v>
      </c>
      <c r="E15" s="144">
        <v>3480</v>
      </c>
      <c r="F15" s="145">
        <f>+E15*2.14625</f>
        <v>7468.9500000000007</v>
      </c>
      <c r="G15" s="146">
        <v>42669</v>
      </c>
      <c r="H15" s="147"/>
      <c r="I15" s="142"/>
      <c r="J15" s="146"/>
      <c r="K15" s="149">
        <v>3455</v>
      </c>
      <c r="L15" s="148"/>
      <c r="M15" s="150">
        <f t="shared" si="0"/>
        <v>25</v>
      </c>
      <c r="N15" s="160"/>
      <c r="O15" s="47"/>
      <c r="Q15" s="160"/>
    </row>
    <row r="16" spans="1:17" hidden="1">
      <c r="A16" s="223" t="s">
        <v>20</v>
      </c>
      <c r="B16" s="224" t="s">
        <v>160</v>
      </c>
      <c r="C16" s="225">
        <v>42695</v>
      </c>
      <c r="D16" s="226" t="s">
        <v>16</v>
      </c>
      <c r="E16" s="227">
        <v>284382.2</v>
      </c>
      <c r="F16" s="228">
        <f>+E16*2.42505</f>
        <v>689641.05411000003</v>
      </c>
      <c r="G16" s="231">
        <f>+C16+60</f>
        <v>42755</v>
      </c>
      <c r="H16" s="230"/>
      <c r="I16" s="225"/>
      <c r="J16" s="231"/>
      <c r="K16" s="232">
        <f>49950+100950+101950+31500</f>
        <v>284350</v>
      </c>
      <c r="L16" s="233"/>
      <c r="M16" s="234">
        <f t="shared" si="0"/>
        <v>32.200000000011642</v>
      </c>
    </row>
    <row r="17" spans="1:17" ht="13.5" hidden="1" thickBot="1">
      <c r="A17" s="161" t="s">
        <v>20</v>
      </c>
      <c r="B17" s="162" t="s">
        <v>163</v>
      </c>
      <c r="C17" s="163">
        <v>42704</v>
      </c>
      <c r="D17" s="164" t="s">
        <v>16</v>
      </c>
      <c r="E17" s="165">
        <v>187097.52</v>
      </c>
      <c r="F17" s="166">
        <f>+E17*2.42625</f>
        <v>453945.3579</v>
      </c>
      <c r="G17" s="167">
        <f>+C17+60</f>
        <v>42764</v>
      </c>
      <c r="H17" s="168"/>
      <c r="I17" s="163"/>
      <c r="J17" s="167"/>
      <c r="K17" s="170">
        <f>102950-31500+103950+11480</f>
        <v>186880</v>
      </c>
      <c r="L17" s="169"/>
      <c r="M17" s="171">
        <f t="shared" si="0"/>
        <v>217.51999999998952</v>
      </c>
    </row>
    <row r="18" spans="1:17" s="83" customFormat="1" hidden="1">
      <c r="A18" s="183" t="s">
        <v>17</v>
      </c>
      <c r="B18" s="184" t="s">
        <v>173</v>
      </c>
      <c r="C18" s="185">
        <v>42765</v>
      </c>
      <c r="D18" s="186" t="s">
        <v>19</v>
      </c>
      <c r="E18" s="187">
        <v>73064.399999999994</v>
      </c>
      <c r="F18" s="188">
        <f>+E18*2.26605</f>
        <v>165567.58361999999</v>
      </c>
      <c r="G18" s="189">
        <f>+C18+120</f>
        <v>42885</v>
      </c>
      <c r="H18" s="190"/>
      <c r="I18" s="185"/>
      <c r="J18" s="189"/>
      <c r="K18" s="191">
        <f>10173.28+62770</f>
        <v>72943.28</v>
      </c>
      <c r="L18" s="192"/>
      <c r="M18" s="193">
        <f t="shared" ref="M18:M30" si="1">+E18-K18</f>
        <v>121.11999999999534</v>
      </c>
      <c r="N18" s="327"/>
      <c r="O18" s="82"/>
      <c r="Q18" s="312"/>
    </row>
    <row r="19" spans="1:17" s="71" customFormat="1" hidden="1">
      <c r="A19" s="223" t="s">
        <v>176</v>
      </c>
      <c r="B19" s="224" t="s">
        <v>177</v>
      </c>
      <c r="C19" s="225">
        <v>42780</v>
      </c>
      <c r="D19" s="226" t="s">
        <v>16</v>
      </c>
      <c r="E19" s="227">
        <v>17555.59</v>
      </c>
      <c r="F19" s="228">
        <f>+E19*2.4179</f>
        <v>42447.661060999999</v>
      </c>
      <c r="G19" s="231">
        <f>+C19</f>
        <v>42780</v>
      </c>
      <c r="H19" s="230"/>
      <c r="I19" s="225"/>
      <c r="J19" s="231"/>
      <c r="K19" s="232">
        <v>17555.59</v>
      </c>
      <c r="L19" s="233"/>
      <c r="M19" s="234">
        <f t="shared" si="1"/>
        <v>0</v>
      </c>
      <c r="N19" s="311"/>
      <c r="O19" s="59"/>
      <c r="P19" s="83"/>
      <c r="Q19" s="312"/>
    </row>
    <row r="20" spans="1:17" s="83" customFormat="1" hidden="1">
      <c r="A20" s="140" t="s">
        <v>17</v>
      </c>
      <c r="B20" s="141" t="s">
        <v>180</v>
      </c>
      <c r="C20" s="142">
        <v>42781</v>
      </c>
      <c r="D20" s="143" t="s">
        <v>19</v>
      </c>
      <c r="E20" s="144">
        <v>17856</v>
      </c>
      <c r="F20" s="145">
        <f>+E20*2.272</f>
        <v>40568.831999999995</v>
      </c>
      <c r="G20" s="146">
        <f t="shared" ref="G20:G25" si="2">+C20+120</f>
        <v>42901</v>
      </c>
      <c r="H20" s="147"/>
      <c r="I20" s="142"/>
      <c r="J20" s="146"/>
      <c r="K20" s="149">
        <f>2549.2+15270</f>
        <v>17819.2</v>
      </c>
      <c r="L20" s="148"/>
      <c r="M20" s="150">
        <f t="shared" si="1"/>
        <v>36.799999999999272</v>
      </c>
      <c r="N20" s="327"/>
      <c r="O20" s="82"/>
      <c r="Q20" s="312"/>
    </row>
    <row r="21" spans="1:17" s="6" customFormat="1" hidden="1">
      <c r="A21" s="140" t="s">
        <v>17</v>
      </c>
      <c r="B21" s="141" t="s">
        <v>186</v>
      </c>
      <c r="C21" s="142">
        <v>42844</v>
      </c>
      <c r="D21" s="143" t="s">
        <v>19</v>
      </c>
      <c r="E21" s="144">
        <v>35287.199999999997</v>
      </c>
      <c r="F21" s="145">
        <f>+E21*2.31555</f>
        <v>81709.275959999999</v>
      </c>
      <c r="G21" s="146">
        <f t="shared" si="2"/>
        <v>42964</v>
      </c>
      <c r="H21" s="147"/>
      <c r="I21" s="142"/>
      <c r="J21" s="146"/>
      <c r="K21" s="149">
        <f>5062.04+30100</f>
        <v>35162.04</v>
      </c>
      <c r="L21" s="148"/>
      <c r="M21" s="150">
        <f t="shared" si="1"/>
        <v>125.15999999999622</v>
      </c>
      <c r="N21" s="160"/>
      <c r="O21" s="333"/>
      <c r="P21" s="83"/>
      <c r="Q21" s="312"/>
    </row>
    <row r="22" spans="1:17" s="6" customFormat="1" hidden="1">
      <c r="A22" s="140" t="s">
        <v>17</v>
      </c>
      <c r="B22" s="141" t="s">
        <v>192</v>
      </c>
      <c r="C22" s="142">
        <v>42864</v>
      </c>
      <c r="D22" s="143" t="s">
        <v>19</v>
      </c>
      <c r="E22" s="144">
        <v>73647</v>
      </c>
      <c r="F22" s="145">
        <f>+E22*2.39905</f>
        <v>176682.83534999998</v>
      </c>
      <c r="G22" s="146">
        <f t="shared" si="2"/>
        <v>42984</v>
      </c>
      <c r="H22" s="147"/>
      <c r="I22" s="142"/>
      <c r="J22" s="146"/>
      <c r="K22" s="149">
        <f>10380.8+63196.5</f>
        <v>73577.3</v>
      </c>
      <c r="L22" s="148"/>
      <c r="M22" s="150">
        <f t="shared" si="1"/>
        <v>69.69999999999709</v>
      </c>
      <c r="N22" s="160"/>
      <c r="O22" s="333"/>
      <c r="Q22" s="84"/>
    </row>
    <row r="23" spans="1:17" s="403" customFormat="1" hidden="1">
      <c r="A23" s="140" t="s">
        <v>17</v>
      </c>
      <c r="B23" s="141" t="s">
        <v>195</v>
      </c>
      <c r="C23" s="142">
        <v>42888</v>
      </c>
      <c r="D23" s="143" t="s">
        <v>19</v>
      </c>
      <c r="E23" s="144">
        <v>44179.99</v>
      </c>
      <c r="F23" s="145">
        <f>+E23*2.42865</f>
        <v>107297.73271350001</v>
      </c>
      <c r="G23" s="146">
        <f t="shared" si="2"/>
        <v>43008</v>
      </c>
      <c r="H23" s="147"/>
      <c r="I23" s="142"/>
      <c r="J23" s="146"/>
      <c r="K23" s="149">
        <f>4855.4+39173.04</f>
        <v>44028.44</v>
      </c>
      <c r="L23" s="148"/>
      <c r="M23" s="150">
        <f t="shared" si="1"/>
        <v>151.54999999999563</v>
      </c>
      <c r="N23" s="424"/>
      <c r="O23" s="425"/>
      <c r="Q23" s="424"/>
    </row>
    <row r="24" spans="1:17" s="6" customFormat="1" hidden="1">
      <c r="A24" s="490" t="s">
        <v>17</v>
      </c>
      <c r="B24" s="492" t="s">
        <v>196</v>
      </c>
      <c r="C24" s="493">
        <v>42928</v>
      </c>
      <c r="D24" s="494" t="s">
        <v>19</v>
      </c>
      <c r="E24" s="495">
        <v>92625.75</v>
      </c>
      <c r="F24" s="496">
        <f>+E24*2.4274</f>
        <v>224839.74554999999</v>
      </c>
      <c r="G24" s="497">
        <f t="shared" si="2"/>
        <v>43048</v>
      </c>
      <c r="H24" s="504"/>
      <c r="I24" s="493"/>
      <c r="J24" s="497"/>
      <c r="K24" s="149">
        <f>12804.1+79661.5</f>
        <v>92465.600000000006</v>
      </c>
      <c r="L24" s="506"/>
      <c r="M24" s="509">
        <f t="shared" si="1"/>
        <v>160.14999999999418</v>
      </c>
      <c r="N24" s="160"/>
      <c r="O24" s="333"/>
      <c r="Q24" s="84"/>
    </row>
    <row r="25" spans="1:17" hidden="1">
      <c r="A25" s="491" t="s">
        <v>176</v>
      </c>
      <c r="B25" s="498" t="s">
        <v>218</v>
      </c>
      <c r="C25" s="499">
        <v>42998</v>
      </c>
      <c r="D25" s="500" t="s">
        <v>16</v>
      </c>
      <c r="E25" s="501">
        <v>17117.849999999999</v>
      </c>
      <c r="F25" s="502">
        <f>+E25*2.9097</f>
        <v>49807.808144999995</v>
      </c>
      <c r="G25" s="503">
        <f t="shared" si="2"/>
        <v>43118</v>
      </c>
      <c r="H25" s="505"/>
      <c r="I25" s="499"/>
      <c r="J25" s="503"/>
      <c r="K25" s="507">
        <v>17117.849999999999</v>
      </c>
      <c r="L25" s="508"/>
      <c r="M25" s="510">
        <f t="shared" si="1"/>
        <v>0</v>
      </c>
    </row>
    <row r="26" spans="1:17" s="6" customFormat="1" hidden="1">
      <c r="A26" s="490" t="s">
        <v>17</v>
      </c>
      <c r="B26" s="492" t="s">
        <v>235</v>
      </c>
      <c r="C26" s="493">
        <v>43054</v>
      </c>
      <c r="D26" s="494" t="s">
        <v>19</v>
      </c>
      <c r="E26" s="495">
        <v>71193.600000000006</v>
      </c>
      <c r="F26" s="496">
        <f>+E26*2.4747</f>
        <v>176182.80192</v>
      </c>
      <c r="G26" s="497">
        <f>+C26+120</f>
        <v>43174</v>
      </c>
      <c r="H26" s="504"/>
      <c r="I26" s="493"/>
      <c r="J26" s="497"/>
      <c r="K26" s="666">
        <f>10243.52+40535+20400</f>
        <v>71178.52</v>
      </c>
      <c r="L26" s="506"/>
      <c r="M26" s="509">
        <f t="shared" si="1"/>
        <v>15.080000000001746</v>
      </c>
      <c r="N26" s="160"/>
      <c r="O26" s="333"/>
      <c r="Q26" s="84"/>
    </row>
    <row r="27" spans="1:17" hidden="1">
      <c r="A27" s="491" t="s">
        <v>176</v>
      </c>
      <c r="B27" s="498" t="s">
        <v>242</v>
      </c>
      <c r="C27" s="499">
        <v>43073</v>
      </c>
      <c r="D27" s="500" t="s">
        <v>16</v>
      </c>
      <c r="E27" s="501">
        <v>16991.82</v>
      </c>
      <c r="F27" s="502">
        <f>+E27*2.9231</f>
        <v>49668.789041999997</v>
      </c>
      <c r="G27" s="503">
        <f>+C27+0</f>
        <v>43073</v>
      </c>
      <c r="H27" s="505"/>
      <c r="I27" s="499"/>
      <c r="J27" s="503"/>
      <c r="K27" s="507">
        <v>16991.82</v>
      </c>
      <c r="L27" s="508"/>
      <c r="M27" s="510">
        <f t="shared" si="1"/>
        <v>0</v>
      </c>
    </row>
    <row r="28" spans="1:17" s="6" customFormat="1" hidden="1">
      <c r="A28" s="490" t="s">
        <v>17</v>
      </c>
      <c r="B28" s="492" t="s">
        <v>250</v>
      </c>
      <c r="C28" s="493">
        <v>43084</v>
      </c>
      <c r="D28" s="494" t="s">
        <v>19</v>
      </c>
      <c r="E28" s="495">
        <v>72028.800000000003</v>
      </c>
      <c r="F28" s="496">
        <f>+E28*2.4744</f>
        <v>178228.06272000002</v>
      </c>
      <c r="G28" s="497">
        <f>+C28+120</f>
        <v>43204</v>
      </c>
      <c r="H28" s="504"/>
      <c r="I28" s="493"/>
      <c r="J28" s="497"/>
      <c r="K28" s="666">
        <f>10364.16+61492.5</f>
        <v>71856.66</v>
      </c>
      <c r="L28" s="506"/>
      <c r="M28" s="509">
        <f t="shared" si="1"/>
        <v>172.13999999999942</v>
      </c>
      <c r="N28" s="160"/>
      <c r="O28" s="333"/>
      <c r="Q28" s="84"/>
    </row>
    <row r="29" spans="1:17" hidden="1">
      <c r="A29" s="238" t="s">
        <v>176</v>
      </c>
      <c r="B29" s="239" t="s">
        <v>274</v>
      </c>
      <c r="C29" s="240">
        <v>43182</v>
      </c>
      <c r="D29" s="241" t="s">
        <v>16</v>
      </c>
      <c r="E29" s="242">
        <v>13950.45</v>
      </c>
      <c r="F29" s="243">
        <f>+E29*2.9343</f>
        <v>40934.805435000002</v>
      </c>
      <c r="G29" s="262">
        <f>+C29</f>
        <v>43182</v>
      </c>
      <c r="H29" s="261"/>
      <c r="I29" s="240"/>
      <c r="J29" s="262"/>
      <c r="K29" s="245">
        <v>13950.45</v>
      </c>
      <c r="L29" s="244"/>
      <c r="M29" s="510">
        <f t="shared" si="1"/>
        <v>0</v>
      </c>
    </row>
    <row r="30" spans="1:17" s="6" customFormat="1">
      <c r="A30" s="330" t="s">
        <v>17</v>
      </c>
      <c r="B30" s="526" t="s">
        <v>275</v>
      </c>
      <c r="C30" s="527">
        <v>43164</v>
      </c>
      <c r="D30" s="528" t="s">
        <v>19</v>
      </c>
      <c r="E30" s="529">
        <v>35971.199999999997</v>
      </c>
      <c r="F30" s="331">
        <f>+E30*2.38585</f>
        <v>85821.887519999989</v>
      </c>
      <c r="G30" s="530">
        <f>+C30+120</f>
        <v>43284</v>
      </c>
      <c r="H30" s="531"/>
      <c r="I30" s="527"/>
      <c r="J30" s="530"/>
      <c r="K30" s="332">
        <f>5174.34+49985-20400</f>
        <v>34759.339999999997</v>
      </c>
      <c r="L30" s="532"/>
      <c r="M30" s="511">
        <f t="shared" si="1"/>
        <v>1211.8600000000006</v>
      </c>
      <c r="N30" s="160"/>
      <c r="O30" s="333"/>
      <c r="Q30" s="84"/>
    </row>
    <row r="31" spans="1:17" s="6" customFormat="1" ht="13.5" thickBot="1">
      <c r="A31" s="9"/>
      <c r="B31" s="10"/>
      <c r="C31" s="11"/>
      <c r="D31" s="12"/>
      <c r="E31" s="13"/>
      <c r="F31" s="14"/>
      <c r="G31" s="15"/>
      <c r="H31" s="16"/>
      <c r="I31" s="11"/>
      <c r="J31" s="15"/>
      <c r="K31" s="17"/>
      <c r="L31" s="18"/>
      <c r="M31" s="512"/>
      <c r="N31" s="160"/>
      <c r="O31" s="333"/>
      <c r="Q31" s="84"/>
    </row>
    <row r="32" spans="1:17" s="25" customFormat="1" ht="13.5" thickBot="1">
      <c r="A32" s="20"/>
      <c r="B32" s="20"/>
      <c r="C32" s="21"/>
      <c r="D32" s="20"/>
      <c r="E32" s="22"/>
      <c r="F32" s="23"/>
      <c r="G32" s="21"/>
      <c r="H32" s="23"/>
      <c r="I32" s="21"/>
      <c r="J32" s="21"/>
      <c r="K32" s="22"/>
      <c r="L32" s="20"/>
      <c r="M32" s="24"/>
      <c r="N32" s="328"/>
      <c r="O32" s="7"/>
      <c r="Q32" s="533"/>
    </row>
    <row r="33" spans="1:17" ht="13.5" thickBot="1">
      <c r="A33" s="893" t="s">
        <v>0</v>
      </c>
      <c r="B33" s="895" t="s">
        <v>1</v>
      </c>
      <c r="C33" s="895"/>
      <c r="D33" s="895"/>
      <c r="E33" s="895"/>
      <c r="F33" s="895"/>
      <c r="G33" s="895"/>
      <c r="H33" s="896" t="s">
        <v>2</v>
      </c>
      <c r="I33" s="896"/>
      <c r="J33" s="896"/>
      <c r="K33" s="896" t="s">
        <v>3</v>
      </c>
      <c r="L33" s="896"/>
      <c r="M33" s="893" t="s">
        <v>4</v>
      </c>
    </row>
    <row r="34" spans="1:17" ht="13.5" thickBot="1">
      <c r="A34" s="894"/>
      <c r="B34" s="554" t="s">
        <v>5</v>
      </c>
      <c r="C34" s="554" t="s">
        <v>6</v>
      </c>
      <c r="D34" s="554" t="s">
        <v>7</v>
      </c>
      <c r="E34" s="29" t="s">
        <v>8</v>
      </c>
      <c r="F34" s="28" t="s">
        <v>9</v>
      </c>
      <c r="G34" s="555" t="s">
        <v>10</v>
      </c>
      <c r="H34" s="28" t="s">
        <v>11</v>
      </c>
      <c r="I34" s="554" t="s">
        <v>12</v>
      </c>
      <c r="J34" s="555" t="s">
        <v>13</v>
      </c>
      <c r="K34" s="29" t="s">
        <v>11</v>
      </c>
      <c r="L34" s="30" t="s">
        <v>14</v>
      </c>
      <c r="M34" s="894"/>
    </row>
    <row r="35" spans="1:17" s="44" customFormat="1">
      <c r="A35" s="48" t="s">
        <v>17</v>
      </c>
      <c r="B35" s="49" t="s">
        <v>26</v>
      </c>
      <c r="C35" s="50">
        <v>40680</v>
      </c>
      <c r="D35" s="51" t="s">
        <v>16</v>
      </c>
      <c r="E35" s="52">
        <v>5190.95</v>
      </c>
      <c r="F35" s="53">
        <f>+E35*1.95835</f>
        <v>10165.696932499999</v>
      </c>
      <c r="G35" s="54">
        <f>+C35+90</f>
        <v>40770</v>
      </c>
      <c r="H35" s="55"/>
      <c r="I35" s="52"/>
      <c r="J35" s="54"/>
      <c r="K35" s="56"/>
      <c r="L35" s="57"/>
      <c r="M35" s="58">
        <f>+E35-K35</f>
        <v>5190.95</v>
      </c>
      <c r="N35" s="286"/>
      <c r="O35" s="59"/>
      <c r="Q35" s="286"/>
    </row>
    <row r="36" spans="1:17" s="6" customFormat="1" hidden="1">
      <c r="A36" s="140" t="s">
        <v>17</v>
      </c>
      <c r="B36" s="141" t="s">
        <v>27</v>
      </c>
      <c r="C36" s="142">
        <v>42356</v>
      </c>
      <c r="D36" s="143" t="s">
        <v>19</v>
      </c>
      <c r="E36" s="144">
        <v>217912.86</v>
      </c>
      <c r="F36" s="145">
        <f>E36*2.01185</f>
        <v>438407.98739099997</v>
      </c>
      <c r="G36" s="146">
        <v>42485</v>
      </c>
      <c r="H36" s="147"/>
      <c r="I36" s="143"/>
      <c r="J36" s="148"/>
      <c r="K36" s="149">
        <f>113564.6+104348.26</f>
        <v>217912.86</v>
      </c>
      <c r="L36" s="148"/>
      <c r="M36" s="150">
        <f t="shared" ref="M36:M68" si="3">E36-K36</f>
        <v>0</v>
      </c>
      <c r="N36" s="160"/>
      <c r="O36" s="7"/>
      <c r="P36" s="84"/>
      <c r="Q36" s="84"/>
    </row>
    <row r="37" spans="1:17" s="26" customFormat="1" hidden="1">
      <c r="A37" s="223" t="s">
        <v>20</v>
      </c>
      <c r="B37" s="224" t="s">
        <v>28</v>
      </c>
      <c r="C37" s="225">
        <v>42359</v>
      </c>
      <c r="D37" s="226" t="s">
        <v>16</v>
      </c>
      <c r="E37" s="227">
        <v>694484.64</v>
      </c>
      <c r="F37" s="228">
        <f>E37*2.19375</f>
        <v>1523525.679</v>
      </c>
      <c r="G37" s="231">
        <v>42456</v>
      </c>
      <c r="H37" s="230"/>
      <c r="I37" s="226"/>
      <c r="J37" s="233"/>
      <c r="K37" s="232">
        <f>49960-39400+88520+100950+99945+49934.5+99924.5+24900+24960+49900+29960+29982+34949.5+21960+28000</f>
        <v>694445.5</v>
      </c>
      <c r="L37" s="233"/>
      <c r="M37" s="234">
        <f t="shared" si="3"/>
        <v>39.14000000001397</v>
      </c>
      <c r="N37" s="329"/>
      <c r="O37" s="7"/>
      <c r="Q37" s="329"/>
    </row>
    <row r="38" spans="1:17" ht="13.5" hidden="1" thickBot="1">
      <c r="A38" s="161" t="s">
        <v>17</v>
      </c>
      <c r="B38" s="162" t="s">
        <v>29</v>
      </c>
      <c r="C38" s="163">
        <v>42363</v>
      </c>
      <c r="D38" s="164" t="s">
        <v>16</v>
      </c>
      <c r="E38" s="165">
        <v>2590.8000000000002</v>
      </c>
      <c r="F38" s="166">
        <f>+E38*2.19995</f>
        <v>5699.6304600000003</v>
      </c>
      <c r="G38" s="167">
        <v>42485</v>
      </c>
      <c r="H38" s="168"/>
      <c r="I38" s="164"/>
      <c r="J38" s="169"/>
      <c r="K38" s="170">
        <v>2783.74</v>
      </c>
      <c r="L38" s="169"/>
      <c r="M38" s="171">
        <f t="shared" si="3"/>
        <v>-192.9399999999996</v>
      </c>
      <c r="P38" s="2"/>
    </row>
    <row r="39" spans="1:17" hidden="1">
      <c r="A39" s="213" t="s">
        <v>15</v>
      </c>
      <c r="B39" s="214" t="s">
        <v>30</v>
      </c>
      <c r="C39" s="215">
        <v>42388</v>
      </c>
      <c r="D39" s="216" t="s">
        <v>16</v>
      </c>
      <c r="E39" s="217">
        <v>70769.149999999994</v>
      </c>
      <c r="F39" s="218">
        <f>E39*2.21425</f>
        <v>156700.59038749998</v>
      </c>
      <c r="G39" s="219">
        <v>42478</v>
      </c>
      <c r="H39" s="220"/>
      <c r="I39" s="215"/>
      <c r="J39" s="219"/>
      <c r="K39" s="221">
        <f>20719.15+24950+24950</f>
        <v>70619.149999999994</v>
      </c>
      <c r="L39" s="219"/>
      <c r="M39" s="222">
        <f t="shared" si="3"/>
        <v>150</v>
      </c>
      <c r="N39" s="2"/>
    </row>
    <row r="40" spans="1:17" s="5" customFormat="1" hidden="1">
      <c r="A40" s="140" t="s">
        <v>17</v>
      </c>
      <c r="B40" s="141" t="s">
        <v>31</v>
      </c>
      <c r="C40" s="142">
        <v>42394</v>
      </c>
      <c r="D40" s="143" t="s">
        <v>19</v>
      </c>
      <c r="E40" s="144">
        <v>120772.23</v>
      </c>
      <c r="F40" s="145">
        <f>+E40*2.0293</f>
        <v>245083.086339</v>
      </c>
      <c r="G40" s="146">
        <v>42522</v>
      </c>
      <c r="H40" s="147"/>
      <c r="I40" s="143"/>
      <c r="J40" s="148"/>
      <c r="K40" s="149">
        <f>61633.4-K41+60440.56</f>
        <v>120729.95999999999</v>
      </c>
      <c r="L40" s="148"/>
      <c r="M40" s="150">
        <f t="shared" si="3"/>
        <v>42.270000000004075</v>
      </c>
      <c r="N40" s="160"/>
      <c r="O40" s="47"/>
      <c r="P40" s="160"/>
      <c r="Q40" s="160"/>
    </row>
    <row r="41" spans="1:17" s="5" customFormat="1" hidden="1">
      <c r="A41" s="140" t="s">
        <v>17</v>
      </c>
      <c r="B41" s="141" t="s">
        <v>32</v>
      </c>
      <c r="C41" s="142">
        <v>42396</v>
      </c>
      <c r="D41" s="143" t="s">
        <v>19</v>
      </c>
      <c r="E41" s="144">
        <v>1344</v>
      </c>
      <c r="F41" s="145">
        <f>+E41*2.0293</f>
        <v>2727.3792000000003</v>
      </c>
      <c r="G41" s="146">
        <v>42522</v>
      </c>
      <c r="H41" s="147"/>
      <c r="I41" s="143"/>
      <c r="J41" s="148"/>
      <c r="K41" s="149">
        <v>1344</v>
      </c>
      <c r="L41" s="148"/>
      <c r="M41" s="150">
        <f t="shared" si="3"/>
        <v>0</v>
      </c>
      <c r="N41" s="160"/>
      <c r="O41" s="47"/>
      <c r="P41" s="160"/>
      <c r="Q41" s="160"/>
    </row>
    <row r="42" spans="1:17" s="4" customFormat="1" hidden="1">
      <c r="A42" s="223" t="s">
        <v>20</v>
      </c>
      <c r="B42" s="224" t="s">
        <v>33</v>
      </c>
      <c r="C42" s="225">
        <v>42405</v>
      </c>
      <c r="D42" s="226" t="s">
        <v>16</v>
      </c>
      <c r="E42" s="227">
        <v>354482.12</v>
      </c>
      <c r="F42" s="228">
        <f>E42*2.232</f>
        <v>791204.09184000001</v>
      </c>
      <c r="G42" s="231">
        <v>42502</v>
      </c>
      <c r="H42" s="230"/>
      <c r="I42" s="226"/>
      <c r="J42" s="233"/>
      <c r="K42" s="232">
        <f>54480+50000+100000+100000+5000+40000+5002.12</f>
        <v>354482.12</v>
      </c>
      <c r="L42" s="233"/>
      <c r="M42" s="234">
        <f>E42-K42</f>
        <v>0</v>
      </c>
      <c r="N42" s="326"/>
      <c r="O42" s="47"/>
      <c r="Q42" s="326"/>
    </row>
    <row r="43" spans="1:17" s="6" customFormat="1" hidden="1">
      <c r="A43" s="140" t="s">
        <v>17</v>
      </c>
      <c r="B43" s="141" t="s">
        <v>34</v>
      </c>
      <c r="C43" s="142">
        <v>42412</v>
      </c>
      <c r="D43" s="143" t="s">
        <v>19</v>
      </c>
      <c r="E43" s="144">
        <v>110497.38</v>
      </c>
      <c r="F43" s="145">
        <f>E43*2.00195</f>
        <v>221210.229891</v>
      </c>
      <c r="G43" s="146">
        <v>42543</v>
      </c>
      <c r="H43" s="147"/>
      <c r="I43" s="143"/>
      <c r="J43" s="148"/>
      <c r="K43" s="149">
        <f>58678.54-3945.6+55714.44</f>
        <v>110447.38</v>
      </c>
      <c r="L43" s="148"/>
      <c r="M43" s="150">
        <f t="shared" si="3"/>
        <v>50</v>
      </c>
      <c r="N43" s="160"/>
      <c r="O43" s="7"/>
      <c r="Q43" s="84"/>
    </row>
    <row r="44" spans="1:17" s="4" customFormat="1" hidden="1">
      <c r="A44" s="223" t="s">
        <v>15</v>
      </c>
      <c r="B44" s="224" t="s">
        <v>35</v>
      </c>
      <c r="C44" s="225">
        <v>42412</v>
      </c>
      <c r="D44" s="226" t="s">
        <v>16</v>
      </c>
      <c r="E44" s="227">
        <v>52613.599999999999</v>
      </c>
      <c r="F44" s="228">
        <f>E44*2.24105</f>
        <v>117909.70827999999</v>
      </c>
      <c r="G44" s="229">
        <v>42502</v>
      </c>
      <c r="H44" s="230"/>
      <c r="I44" s="226"/>
      <c r="J44" s="233"/>
      <c r="K44" s="232">
        <v>52563.6</v>
      </c>
      <c r="L44" s="233"/>
      <c r="M44" s="234">
        <f t="shared" si="3"/>
        <v>50</v>
      </c>
      <c r="N44" s="326"/>
      <c r="O44" s="47"/>
      <c r="Q44" s="326"/>
    </row>
    <row r="45" spans="1:17" s="6" customFormat="1" hidden="1">
      <c r="A45" s="140" t="s">
        <v>17</v>
      </c>
      <c r="B45" s="141" t="s">
        <v>36</v>
      </c>
      <c r="C45" s="142">
        <v>42416</v>
      </c>
      <c r="D45" s="143" t="s">
        <v>19</v>
      </c>
      <c r="E45" s="144">
        <v>3945.6</v>
      </c>
      <c r="F45" s="145">
        <f>E45*2.00195</f>
        <v>7898.8939199999995</v>
      </c>
      <c r="G45" s="157">
        <v>42543</v>
      </c>
      <c r="H45" s="147"/>
      <c r="I45" s="143"/>
      <c r="J45" s="148"/>
      <c r="K45" s="149">
        <v>3945.6</v>
      </c>
      <c r="L45" s="148"/>
      <c r="M45" s="150">
        <f t="shared" si="3"/>
        <v>0</v>
      </c>
      <c r="N45" s="160"/>
      <c r="O45" s="7"/>
      <c r="Q45" s="84"/>
    </row>
    <row r="46" spans="1:17" s="4" customFormat="1" hidden="1">
      <c r="A46" s="223" t="s">
        <v>15</v>
      </c>
      <c r="B46" s="224" t="s">
        <v>37</v>
      </c>
      <c r="C46" s="225">
        <v>42422</v>
      </c>
      <c r="D46" s="226" t="s">
        <v>16</v>
      </c>
      <c r="E46" s="227">
        <v>36924.26</v>
      </c>
      <c r="F46" s="228">
        <f>+E46*2.2214</f>
        <v>82023.551164000004</v>
      </c>
      <c r="G46" s="229">
        <f>+C46+90</f>
        <v>42512</v>
      </c>
      <c r="H46" s="230"/>
      <c r="I46" s="226"/>
      <c r="J46" s="233"/>
      <c r="K46" s="232">
        <v>36874.26</v>
      </c>
      <c r="L46" s="233"/>
      <c r="M46" s="234">
        <f t="shared" si="3"/>
        <v>50</v>
      </c>
      <c r="N46" s="326"/>
      <c r="O46" s="47"/>
      <c r="Q46" s="326"/>
    </row>
    <row r="47" spans="1:17" s="5" customFormat="1" hidden="1">
      <c r="A47" s="140" t="s">
        <v>21</v>
      </c>
      <c r="B47" s="141" t="s">
        <v>38</v>
      </c>
      <c r="C47" s="142">
        <v>42423</v>
      </c>
      <c r="D47" s="143" t="s">
        <v>19</v>
      </c>
      <c r="E47" s="144">
        <v>58754.1</v>
      </c>
      <c r="F47" s="145">
        <f>+E47*2.01295</f>
        <v>118269.06559499999</v>
      </c>
      <c r="G47" s="157">
        <f>+C47+90</f>
        <v>42513</v>
      </c>
      <c r="H47" s="147"/>
      <c r="I47" s="143"/>
      <c r="J47" s="148"/>
      <c r="K47" s="149">
        <v>58754.1</v>
      </c>
      <c r="L47" s="148"/>
      <c r="M47" s="150">
        <f t="shared" si="3"/>
        <v>0</v>
      </c>
      <c r="N47" s="160"/>
      <c r="O47" s="47"/>
      <c r="P47" s="268"/>
      <c r="Q47" s="160"/>
    </row>
    <row r="48" spans="1:17" hidden="1">
      <c r="A48" s="223" t="s">
        <v>20</v>
      </c>
      <c r="B48" s="224" t="s">
        <v>40</v>
      </c>
      <c r="C48" s="225">
        <v>42436</v>
      </c>
      <c r="D48" s="226" t="s">
        <v>16</v>
      </c>
      <c r="E48" s="227">
        <v>346818.74</v>
      </c>
      <c r="F48" s="228">
        <f>+E48*2.2428</f>
        <v>777845.07007199991</v>
      </c>
      <c r="G48" s="229">
        <f>+C48+90</f>
        <v>42526</v>
      </c>
      <c r="H48" s="230">
        <v>620000</v>
      </c>
      <c r="I48" s="226"/>
      <c r="J48" s="231">
        <v>42521</v>
      </c>
      <c r="K48" s="232">
        <f>79900-5002.12+25000+25000+25000+15000+80000+40000+31840+9950+20000</f>
        <v>346687.88</v>
      </c>
      <c r="L48" s="233"/>
      <c r="M48" s="234">
        <f t="shared" si="3"/>
        <v>130.85999999998603</v>
      </c>
    </row>
    <row r="49" spans="1:17" s="4" customFormat="1" hidden="1">
      <c r="A49" s="223" t="s">
        <v>15</v>
      </c>
      <c r="B49" s="224" t="s">
        <v>41</v>
      </c>
      <c r="C49" s="225">
        <v>42445</v>
      </c>
      <c r="D49" s="226" t="s">
        <v>16</v>
      </c>
      <c r="E49" s="227">
        <v>56915.18</v>
      </c>
      <c r="F49" s="228">
        <f>+E49*2.2342</f>
        <v>127159.895156</v>
      </c>
      <c r="G49" s="229">
        <f>+C49+90</f>
        <v>42535</v>
      </c>
      <c r="H49" s="230"/>
      <c r="I49" s="226"/>
      <c r="J49" s="233"/>
      <c r="K49" s="232">
        <f>20865.18+36000</f>
        <v>56865.18</v>
      </c>
      <c r="L49" s="233"/>
      <c r="M49" s="234">
        <f t="shared" si="3"/>
        <v>50</v>
      </c>
      <c r="N49" s="326"/>
      <c r="O49" s="47"/>
      <c r="Q49" s="326"/>
    </row>
    <row r="50" spans="1:17" s="4" customFormat="1" hidden="1">
      <c r="A50" s="223" t="s">
        <v>15</v>
      </c>
      <c r="B50" s="224" t="s">
        <v>42</v>
      </c>
      <c r="C50" s="225">
        <v>42460</v>
      </c>
      <c r="D50" s="226" t="s">
        <v>16</v>
      </c>
      <c r="E50" s="227">
        <v>55894.19</v>
      </c>
      <c r="F50" s="228">
        <f>E50*2.25995</f>
        <v>126318.0746905</v>
      </c>
      <c r="G50" s="229">
        <f>+C50+90</f>
        <v>42550</v>
      </c>
      <c r="H50" s="230"/>
      <c r="I50" s="226"/>
      <c r="J50" s="233"/>
      <c r="K50" s="232">
        <f>46844.19-36000+22950+21950</f>
        <v>55744.19</v>
      </c>
      <c r="L50" s="233"/>
      <c r="M50" s="234">
        <f t="shared" si="3"/>
        <v>150</v>
      </c>
      <c r="N50" s="326"/>
      <c r="O50" s="47"/>
      <c r="Q50" s="326"/>
    </row>
    <row r="51" spans="1:17" s="5" customFormat="1" hidden="1">
      <c r="A51" s="140" t="s">
        <v>17</v>
      </c>
      <c r="B51" s="141" t="s">
        <v>43</v>
      </c>
      <c r="C51" s="142">
        <v>42461</v>
      </c>
      <c r="D51" s="143" t="s">
        <v>19</v>
      </c>
      <c r="E51" s="144">
        <v>124293.26</v>
      </c>
      <c r="F51" s="145">
        <f>E51*1.98505</f>
        <v>246728.33576299998</v>
      </c>
      <c r="G51" s="157">
        <v>42585</v>
      </c>
      <c r="H51" s="147"/>
      <c r="I51" s="143"/>
      <c r="J51" s="148"/>
      <c r="K51" s="149">
        <f>60173.9+64059.36</f>
        <v>124233.26000000001</v>
      </c>
      <c r="L51" s="148"/>
      <c r="M51" s="150">
        <f t="shared" si="3"/>
        <v>59.999999999985448</v>
      </c>
      <c r="N51" s="160"/>
      <c r="O51" s="196"/>
      <c r="Q51" s="160"/>
    </row>
    <row r="52" spans="1:17" s="4" customFormat="1" hidden="1">
      <c r="A52" s="223" t="s">
        <v>15</v>
      </c>
      <c r="B52" s="224" t="s">
        <v>79</v>
      </c>
      <c r="C52" s="225">
        <v>42471</v>
      </c>
      <c r="D52" s="226" t="s">
        <v>16</v>
      </c>
      <c r="E52" s="227">
        <v>71366.58</v>
      </c>
      <c r="F52" s="228">
        <f>E52*2.2645</f>
        <v>161609.62041</v>
      </c>
      <c r="G52" s="229">
        <f>+C52+90</f>
        <v>42561</v>
      </c>
      <c r="H52" s="230"/>
      <c r="I52" s="226"/>
      <c r="J52" s="233"/>
      <c r="K52" s="232">
        <v>71316.58</v>
      </c>
      <c r="L52" s="233"/>
      <c r="M52" s="234">
        <f t="shared" si="3"/>
        <v>50</v>
      </c>
      <c r="N52" s="326"/>
      <c r="O52" s="47"/>
      <c r="Q52" s="326"/>
    </row>
    <row r="53" spans="1:17" s="5" customFormat="1" hidden="1">
      <c r="A53" s="140" t="s">
        <v>17</v>
      </c>
      <c r="B53" s="141" t="s">
        <v>82</v>
      </c>
      <c r="C53" s="142">
        <v>42480</v>
      </c>
      <c r="D53" s="143" t="s">
        <v>19</v>
      </c>
      <c r="E53" s="144">
        <v>3720</v>
      </c>
      <c r="F53" s="145">
        <f>+E53*1.99715</f>
        <v>7429.3980000000001</v>
      </c>
      <c r="G53" s="157">
        <v>42603</v>
      </c>
      <c r="H53" s="147"/>
      <c r="I53" s="143"/>
      <c r="J53" s="148"/>
      <c r="K53" s="149">
        <v>3662</v>
      </c>
      <c r="L53" s="148"/>
      <c r="M53" s="150">
        <f t="shared" si="3"/>
        <v>58</v>
      </c>
      <c r="N53" s="160"/>
      <c r="O53" s="196"/>
      <c r="P53" s="258"/>
      <c r="Q53" s="160"/>
    </row>
    <row r="54" spans="1:17" s="5" customFormat="1" hidden="1">
      <c r="A54" s="140" t="s">
        <v>21</v>
      </c>
      <c r="B54" s="141" t="s">
        <v>80</v>
      </c>
      <c r="C54" s="142">
        <v>42480</v>
      </c>
      <c r="D54" s="143" t="s">
        <v>19</v>
      </c>
      <c r="E54" s="144">
        <v>59734.6</v>
      </c>
      <c r="F54" s="145">
        <f>+E54*1.99715</f>
        <v>119298.95638999999</v>
      </c>
      <c r="G54" s="157">
        <v>42580</v>
      </c>
      <c r="H54" s="147"/>
      <c r="I54" s="143"/>
      <c r="J54" s="148"/>
      <c r="K54" s="149">
        <v>59734.6</v>
      </c>
      <c r="L54" s="148"/>
      <c r="M54" s="150">
        <f t="shared" si="3"/>
        <v>0</v>
      </c>
      <c r="N54" s="160"/>
      <c r="O54" s="196"/>
      <c r="P54" s="258"/>
      <c r="Q54" s="160"/>
    </row>
    <row r="55" spans="1:17" s="5" customFormat="1" hidden="1">
      <c r="A55" s="140" t="s">
        <v>17</v>
      </c>
      <c r="B55" s="141" t="s">
        <v>81</v>
      </c>
      <c r="C55" s="142">
        <v>42485</v>
      </c>
      <c r="D55" s="143" t="s">
        <v>19</v>
      </c>
      <c r="E55" s="144">
        <v>190231.2</v>
      </c>
      <c r="F55" s="145">
        <f>+E55*1.99715</f>
        <v>379920.24108000001</v>
      </c>
      <c r="G55" s="157">
        <v>42603</v>
      </c>
      <c r="H55" s="147">
        <v>305000</v>
      </c>
      <c r="I55" s="143"/>
      <c r="J55" s="146">
        <v>42607</v>
      </c>
      <c r="K55" s="149">
        <f>163674-64059.36+90538.6</f>
        <v>190153.24</v>
      </c>
      <c r="L55" s="148"/>
      <c r="M55" s="150">
        <f t="shared" si="3"/>
        <v>77.960000000020955</v>
      </c>
      <c r="N55" s="160"/>
      <c r="O55" s="196"/>
      <c r="P55" s="258"/>
      <c r="Q55" s="160"/>
    </row>
    <row r="56" spans="1:17" s="81" customFormat="1" hidden="1">
      <c r="A56" s="172" t="s">
        <v>21</v>
      </c>
      <c r="B56" s="173" t="s">
        <v>85</v>
      </c>
      <c r="C56" s="174">
        <v>42503</v>
      </c>
      <c r="D56" s="143" t="s">
        <v>19</v>
      </c>
      <c r="E56" s="176">
        <v>60309.599999999999</v>
      </c>
      <c r="F56" s="177">
        <f>E56*2.02365</f>
        <v>122045.52204</v>
      </c>
      <c r="G56" s="267">
        <v>42601</v>
      </c>
      <c r="H56" s="179"/>
      <c r="I56" s="175"/>
      <c r="J56" s="178"/>
      <c r="K56" s="180">
        <v>60309.599999999999</v>
      </c>
      <c r="L56" s="181"/>
      <c r="M56" s="182">
        <f t="shared" si="3"/>
        <v>0</v>
      </c>
      <c r="N56" s="327"/>
      <c r="O56" s="207"/>
      <c r="P56" s="259"/>
      <c r="Q56" s="327"/>
    </row>
    <row r="57" spans="1:17" s="83" customFormat="1" hidden="1">
      <c r="A57" s="172" t="s">
        <v>17</v>
      </c>
      <c r="B57" s="173" t="s">
        <v>86</v>
      </c>
      <c r="C57" s="174">
        <v>42513</v>
      </c>
      <c r="D57" s="143" t="s">
        <v>19</v>
      </c>
      <c r="E57" s="176">
        <v>243352.73</v>
      </c>
      <c r="F57" s="177">
        <f>E57*2.02365</f>
        <v>492460.7520645</v>
      </c>
      <c r="G57" s="267">
        <v>42630</v>
      </c>
      <c r="H57" s="179">
        <v>395000</v>
      </c>
      <c r="I57" s="175"/>
      <c r="J57" s="178">
        <v>42638</v>
      </c>
      <c r="K57" s="180">
        <f>123502.1-2842.8+122644.67</f>
        <v>243303.97</v>
      </c>
      <c r="L57" s="181"/>
      <c r="M57" s="182">
        <f t="shared" si="3"/>
        <v>48.760000000009313</v>
      </c>
      <c r="N57" s="327"/>
      <c r="O57" s="82"/>
      <c r="P57" s="260"/>
      <c r="Q57" s="312"/>
    </row>
    <row r="58" spans="1:17" s="83" customFormat="1" hidden="1">
      <c r="A58" s="172" t="s">
        <v>17</v>
      </c>
      <c r="B58" s="173" t="s">
        <v>87</v>
      </c>
      <c r="C58" s="174">
        <v>42506</v>
      </c>
      <c r="D58" s="143" t="s">
        <v>19</v>
      </c>
      <c r="E58" s="176">
        <v>2902.8</v>
      </c>
      <c r="F58" s="177">
        <f>+E58*2.02365</f>
        <v>5874.2512200000001</v>
      </c>
      <c r="G58" s="267">
        <v>42630</v>
      </c>
      <c r="H58" s="179"/>
      <c r="I58" s="175"/>
      <c r="J58" s="181"/>
      <c r="K58" s="180">
        <f>2902.8-60</f>
        <v>2842.8</v>
      </c>
      <c r="L58" s="181"/>
      <c r="M58" s="182">
        <f t="shared" si="3"/>
        <v>60</v>
      </c>
      <c r="N58" s="327"/>
      <c r="O58" s="82"/>
      <c r="Q58" s="312"/>
    </row>
    <row r="59" spans="1:17" s="70" customFormat="1" hidden="1">
      <c r="A59" s="334" t="s">
        <v>15</v>
      </c>
      <c r="B59" s="335" t="s">
        <v>123</v>
      </c>
      <c r="C59" s="336">
        <v>42515</v>
      </c>
      <c r="D59" s="279" t="s">
        <v>16</v>
      </c>
      <c r="E59" s="337">
        <v>58025.49</v>
      </c>
      <c r="F59" s="338">
        <f>E59*2.28935</f>
        <v>132840.6555315</v>
      </c>
      <c r="G59" s="339">
        <f>+C59+90</f>
        <v>42605</v>
      </c>
      <c r="H59" s="278"/>
      <c r="I59" s="279"/>
      <c r="J59" s="313"/>
      <c r="K59" s="340">
        <f>12985.49+10960+11019+20163.57+2850</f>
        <v>57978.06</v>
      </c>
      <c r="L59" s="313"/>
      <c r="M59" s="341">
        <f t="shared" si="3"/>
        <v>47.430000000000291</v>
      </c>
      <c r="N59" s="311"/>
      <c r="O59" s="212"/>
      <c r="Q59" s="311"/>
    </row>
    <row r="60" spans="1:17" s="81" customFormat="1" hidden="1">
      <c r="A60" s="172" t="s">
        <v>17</v>
      </c>
      <c r="B60" s="173" t="s">
        <v>133</v>
      </c>
      <c r="C60" s="174">
        <v>42522</v>
      </c>
      <c r="D60" s="175" t="s">
        <v>19</v>
      </c>
      <c r="E60" s="176">
        <v>181444.41</v>
      </c>
      <c r="F60" s="177">
        <f>+E60*2.0914</f>
        <v>379472.83907400002</v>
      </c>
      <c r="G60" s="267">
        <v>42647</v>
      </c>
      <c r="H60" s="179"/>
      <c r="I60" s="175"/>
      <c r="J60" s="178"/>
      <c r="K60" s="180">
        <f>90963.81+91051.3-637.2</f>
        <v>181377.90999999997</v>
      </c>
      <c r="L60" s="181"/>
      <c r="M60" s="182">
        <f t="shared" si="3"/>
        <v>66.500000000029104</v>
      </c>
      <c r="N60" s="327"/>
      <c r="O60" s="207"/>
      <c r="Q60" s="327"/>
    </row>
    <row r="61" spans="1:17" s="81" customFormat="1" hidden="1">
      <c r="A61" s="172" t="s">
        <v>17</v>
      </c>
      <c r="B61" s="173" t="s">
        <v>134</v>
      </c>
      <c r="C61" s="174">
        <v>42522</v>
      </c>
      <c r="D61" s="175" t="s">
        <v>19</v>
      </c>
      <c r="E61" s="176">
        <v>637.20000000000005</v>
      </c>
      <c r="F61" s="177">
        <f>+E61*2.0914</f>
        <v>1332.6400800000001</v>
      </c>
      <c r="G61" s="267">
        <v>42647</v>
      </c>
      <c r="H61" s="179"/>
      <c r="I61" s="175"/>
      <c r="J61" s="181"/>
      <c r="K61" s="180">
        <v>637.20000000000005</v>
      </c>
      <c r="L61" s="181"/>
      <c r="M61" s="182">
        <f t="shared" si="3"/>
        <v>0</v>
      </c>
      <c r="N61" s="327"/>
      <c r="O61" s="207"/>
      <c r="Q61" s="327"/>
    </row>
    <row r="62" spans="1:17" s="81" customFormat="1" hidden="1">
      <c r="A62" s="172" t="s">
        <v>15</v>
      </c>
      <c r="B62" s="173" t="s">
        <v>135</v>
      </c>
      <c r="C62" s="174">
        <v>42523</v>
      </c>
      <c r="D62" s="175" t="s">
        <v>19</v>
      </c>
      <c r="E62" s="176">
        <v>32695.26</v>
      </c>
      <c r="F62" s="177">
        <f>+E62*2.1062</f>
        <v>68862.756611999997</v>
      </c>
      <c r="G62" s="267">
        <f>+C62+90</f>
        <v>42613</v>
      </c>
      <c r="H62" s="179"/>
      <c r="I62" s="175"/>
      <c r="J62" s="181"/>
      <c r="K62" s="180">
        <v>32614.76</v>
      </c>
      <c r="L62" s="181"/>
      <c r="M62" s="182">
        <f t="shared" si="3"/>
        <v>80.5</v>
      </c>
      <c r="N62" s="327"/>
      <c r="O62" s="207"/>
      <c r="Q62" s="327"/>
    </row>
    <row r="63" spans="1:17" s="70" customFormat="1" hidden="1">
      <c r="A63" s="334" t="s">
        <v>15</v>
      </c>
      <c r="B63" s="335" t="s">
        <v>136</v>
      </c>
      <c r="C63" s="336">
        <v>42527</v>
      </c>
      <c r="D63" s="279" t="s">
        <v>16</v>
      </c>
      <c r="E63" s="337">
        <v>33241.94</v>
      </c>
      <c r="F63" s="338">
        <f>+E63*2.34895</f>
        <v>78083.654963000008</v>
      </c>
      <c r="G63" s="339">
        <f>+C63+90</f>
        <v>42617</v>
      </c>
      <c r="H63" s="179"/>
      <c r="I63" s="279"/>
      <c r="J63" s="313"/>
      <c r="K63" s="340">
        <f>813.45+12225+20000</f>
        <v>33038.449999999997</v>
      </c>
      <c r="L63" s="313"/>
      <c r="M63" s="341">
        <f t="shared" si="3"/>
        <v>203.49000000000524</v>
      </c>
      <c r="N63" s="311"/>
      <c r="O63" s="212"/>
      <c r="Q63" s="311"/>
    </row>
    <row r="64" spans="1:17" s="71" customFormat="1" hidden="1">
      <c r="A64" s="334" t="s">
        <v>20</v>
      </c>
      <c r="B64" s="335" t="s">
        <v>130</v>
      </c>
      <c r="C64" s="336">
        <v>42528</v>
      </c>
      <c r="D64" s="279" t="s">
        <v>16</v>
      </c>
      <c r="E64" s="337">
        <v>249442.34</v>
      </c>
      <c r="F64" s="338">
        <f>+E64*2.3642</f>
        <v>589731.58022799995</v>
      </c>
      <c r="G64" s="339">
        <f>+C64+90</f>
        <v>42618</v>
      </c>
      <c r="H64" s="179"/>
      <c r="I64" s="279"/>
      <c r="J64" s="313"/>
      <c r="K64" s="340">
        <f>60000+39960+39950+25000+10000+25000+49500</f>
        <v>249410</v>
      </c>
      <c r="L64" s="313"/>
      <c r="M64" s="341">
        <f t="shared" si="3"/>
        <v>32.339999999996508</v>
      </c>
      <c r="N64" s="311"/>
      <c r="O64" s="59"/>
      <c r="Q64" s="534"/>
    </row>
    <row r="65" spans="1:17" s="71" customFormat="1" hidden="1">
      <c r="A65" s="334" t="s">
        <v>20</v>
      </c>
      <c r="B65" s="335" t="s">
        <v>143</v>
      </c>
      <c r="C65" s="336">
        <v>42552</v>
      </c>
      <c r="D65" s="279" t="s">
        <v>16</v>
      </c>
      <c r="E65" s="337">
        <v>247327.72</v>
      </c>
      <c r="F65" s="338">
        <f>+E65*2.43635</f>
        <v>602576.89062199998</v>
      </c>
      <c r="G65" s="339">
        <f>+C65+90</f>
        <v>42642</v>
      </c>
      <c r="H65" s="278">
        <v>485000</v>
      </c>
      <c r="I65" s="279"/>
      <c r="J65" s="280">
        <v>42648</v>
      </c>
      <c r="K65" s="340">
        <f>64922.5-49500+85000+59957+79548.68+7399.54</f>
        <v>247327.72</v>
      </c>
      <c r="L65" s="313"/>
      <c r="M65" s="341">
        <f t="shared" si="3"/>
        <v>0</v>
      </c>
      <c r="N65" s="311"/>
      <c r="O65" s="59"/>
      <c r="Q65" s="534"/>
    </row>
    <row r="66" spans="1:17" s="83" customFormat="1" hidden="1">
      <c r="A66" s="172" t="s">
        <v>17</v>
      </c>
      <c r="B66" s="173" t="s">
        <v>140</v>
      </c>
      <c r="C66" s="174">
        <v>42565</v>
      </c>
      <c r="D66" s="175" t="s">
        <v>19</v>
      </c>
      <c r="E66" s="176">
        <v>182006.54</v>
      </c>
      <c r="F66" s="177">
        <f>E66*2.20895</f>
        <v>402043.34653300006</v>
      </c>
      <c r="G66" s="267">
        <v>42698</v>
      </c>
      <c r="H66" s="179">
        <v>320000</v>
      </c>
      <c r="I66" s="175"/>
      <c r="J66" s="178">
        <v>42689</v>
      </c>
      <c r="K66" s="180">
        <f>72601.19+90445.6+18809.75</f>
        <v>181856.54</v>
      </c>
      <c r="L66" s="181"/>
      <c r="M66" s="182">
        <f t="shared" si="3"/>
        <v>150</v>
      </c>
      <c r="N66" s="327"/>
      <c r="O66" s="82"/>
      <c r="Q66" s="312"/>
    </row>
    <row r="67" spans="1:17" s="70" customFormat="1" hidden="1">
      <c r="A67" s="334" t="s">
        <v>15</v>
      </c>
      <c r="B67" s="335" t="s">
        <v>141</v>
      </c>
      <c r="C67" s="336">
        <v>42583</v>
      </c>
      <c r="D67" s="279" t="s">
        <v>16</v>
      </c>
      <c r="E67" s="337">
        <v>47822.32</v>
      </c>
      <c r="F67" s="338">
        <f>+E67*2.45605</f>
        <v>117454.00903599999</v>
      </c>
      <c r="G67" s="339">
        <f>+C67+90</f>
        <v>42673</v>
      </c>
      <c r="H67" s="278"/>
      <c r="I67" s="279"/>
      <c r="J67" s="313"/>
      <c r="K67" s="340">
        <f>10994.42+15629.1+21150</f>
        <v>47773.520000000004</v>
      </c>
      <c r="L67" s="313"/>
      <c r="M67" s="341">
        <f t="shared" si="3"/>
        <v>48.799999999995634</v>
      </c>
      <c r="N67" s="311"/>
      <c r="O67" s="212"/>
      <c r="P67" s="311"/>
      <c r="Q67" s="311"/>
    </row>
    <row r="68" spans="1:17" s="71" customFormat="1" hidden="1">
      <c r="A68" s="334" t="s">
        <v>20</v>
      </c>
      <c r="B68" s="335" t="s">
        <v>142</v>
      </c>
      <c r="C68" s="336">
        <v>42585</v>
      </c>
      <c r="D68" s="279" t="s">
        <v>16</v>
      </c>
      <c r="E68" s="337">
        <v>256710.39999999999</v>
      </c>
      <c r="F68" s="338">
        <f>+E68*2.45645</f>
        <v>630596.2620799999</v>
      </c>
      <c r="G68" s="339">
        <f>+C68+90</f>
        <v>42675</v>
      </c>
      <c r="H68" s="278"/>
      <c r="I68" s="279"/>
      <c r="J68" s="313"/>
      <c r="K68" s="340">
        <f>39965-7399.54+99975+99955+24214.94</f>
        <v>256710.39999999999</v>
      </c>
      <c r="L68" s="313"/>
      <c r="M68" s="341">
        <f t="shared" si="3"/>
        <v>0</v>
      </c>
      <c r="N68" s="311"/>
      <c r="O68" s="59"/>
      <c r="Q68" s="534"/>
    </row>
    <row r="69" spans="1:17" s="60" customFormat="1" hidden="1">
      <c r="A69" s="172" t="s">
        <v>21</v>
      </c>
      <c r="B69" s="173" t="s">
        <v>147</v>
      </c>
      <c r="C69" s="174">
        <v>42594</v>
      </c>
      <c r="D69" s="143" t="s">
        <v>19</v>
      </c>
      <c r="E69" s="176">
        <v>61609.599999999999</v>
      </c>
      <c r="F69" s="177">
        <f>+E69*2.20485</f>
        <v>135839.92655999999</v>
      </c>
      <c r="G69" s="267">
        <v>42692</v>
      </c>
      <c r="H69" s="278"/>
      <c r="I69" s="279"/>
      <c r="J69" s="280"/>
      <c r="K69" s="180">
        <v>61609.599999999999</v>
      </c>
      <c r="L69" s="181"/>
      <c r="M69" s="182">
        <f t="shared" ref="M69:M133" si="4">E69-K69</f>
        <v>0</v>
      </c>
      <c r="N69" s="289"/>
      <c r="O69" s="237"/>
      <c r="Q69" s="289"/>
    </row>
    <row r="70" spans="1:17" s="83" customFormat="1" hidden="1">
      <c r="A70" s="172" t="s">
        <v>17</v>
      </c>
      <c r="B70" s="173" t="s">
        <v>145</v>
      </c>
      <c r="C70" s="174">
        <v>42599</v>
      </c>
      <c r="D70" s="175" t="s">
        <v>19</v>
      </c>
      <c r="E70" s="176">
        <v>201518.23</v>
      </c>
      <c r="F70" s="177">
        <f>E70*2.18885</f>
        <v>441093.17773550004</v>
      </c>
      <c r="G70" s="267">
        <v>42722</v>
      </c>
      <c r="H70" s="278"/>
      <c r="I70" s="279"/>
      <c r="J70" s="313"/>
      <c r="K70" s="180">
        <f>90429.6+110873.72</f>
        <v>201303.32</v>
      </c>
      <c r="L70" s="181"/>
      <c r="M70" s="182">
        <f t="shared" si="4"/>
        <v>214.91000000000349</v>
      </c>
      <c r="N70" s="327"/>
      <c r="O70" s="82"/>
      <c r="P70" s="312"/>
      <c r="Q70" s="312"/>
    </row>
    <row r="71" spans="1:17" s="71" customFormat="1" hidden="1">
      <c r="A71" s="334" t="s">
        <v>20</v>
      </c>
      <c r="B71" s="335" t="s">
        <v>144</v>
      </c>
      <c r="C71" s="336">
        <v>42599</v>
      </c>
      <c r="D71" s="279" t="s">
        <v>16</v>
      </c>
      <c r="E71" s="337">
        <v>176779.1</v>
      </c>
      <c r="F71" s="338">
        <f>E71*2.4649</f>
        <v>435742.80359000002</v>
      </c>
      <c r="G71" s="339">
        <f>+C71+90</f>
        <v>42689</v>
      </c>
      <c r="H71" s="278"/>
      <c r="I71" s="279"/>
      <c r="J71" s="313"/>
      <c r="K71" s="340">
        <f>50000-24214.94+59950+24965+66079.04</f>
        <v>176779.09999999998</v>
      </c>
      <c r="L71" s="313"/>
      <c r="M71" s="341">
        <f t="shared" si="4"/>
        <v>0</v>
      </c>
      <c r="N71" s="311"/>
      <c r="O71" s="59"/>
      <c r="Q71" s="534"/>
    </row>
    <row r="72" spans="1:17" s="71" customFormat="1" hidden="1">
      <c r="A72" s="334" t="s">
        <v>20</v>
      </c>
      <c r="B72" s="335" t="s">
        <v>146</v>
      </c>
      <c r="C72" s="336">
        <v>42606</v>
      </c>
      <c r="D72" s="279" t="s">
        <v>16</v>
      </c>
      <c r="E72" s="337">
        <v>182078.8</v>
      </c>
      <c r="F72" s="338">
        <f>+E72*2.4651</f>
        <v>448842.44987999997</v>
      </c>
      <c r="G72" s="339">
        <f>+C72+90</f>
        <v>42696</v>
      </c>
      <c r="H72" s="278"/>
      <c r="I72" s="279"/>
      <c r="J72" s="313"/>
      <c r="K72" s="340">
        <f>86970-66079.04+44970+99975+16242.84</f>
        <v>182078.80000000002</v>
      </c>
      <c r="L72" s="313"/>
      <c r="M72" s="341">
        <f t="shared" si="4"/>
        <v>0</v>
      </c>
      <c r="N72" s="311"/>
      <c r="O72" s="59"/>
      <c r="Q72" s="534"/>
    </row>
    <row r="73" spans="1:17" s="83" customFormat="1" hidden="1">
      <c r="A73" s="172" t="s">
        <v>17</v>
      </c>
      <c r="B73" s="173" t="s">
        <v>148</v>
      </c>
      <c r="C73" s="174">
        <v>42619</v>
      </c>
      <c r="D73" s="175" t="s">
        <v>19</v>
      </c>
      <c r="E73" s="176">
        <v>201819.58</v>
      </c>
      <c r="F73" s="177">
        <f>+E73*2.19925</f>
        <v>443851.71131500002</v>
      </c>
      <c r="G73" s="267">
        <f>+C73+120</f>
        <v>42739</v>
      </c>
      <c r="H73" s="278"/>
      <c r="I73" s="279"/>
      <c r="J73" s="313"/>
      <c r="K73" s="180">
        <f>90445.6+111210.5</f>
        <v>201656.1</v>
      </c>
      <c r="L73" s="181"/>
      <c r="M73" s="182">
        <f t="shared" si="4"/>
        <v>163.47999999998137</v>
      </c>
      <c r="N73" s="327"/>
      <c r="O73" s="420"/>
      <c r="Q73" s="312"/>
    </row>
    <row r="74" spans="1:17" s="71" customFormat="1" hidden="1">
      <c r="A74" s="334" t="s">
        <v>20</v>
      </c>
      <c r="B74" s="335" t="s">
        <v>149</v>
      </c>
      <c r="C74" s="336">
        <v>42619</v>
      </c>
      <c r="D74" s="279" t="s">
        <v>16</v>
      </c>
      <c r="E74" s="337">
        <v>93763.1</v>
      </c>
      <c r="F74" s="338">
        <f>+E74*2.45675</f>
        <v>230352.49592500002</v>
      </c>
      <c r="G74" s="339">
        <f>+C74+90</f>
        <v>42709</v>
      </c>
      <c r="H74" s="278"/>
      <c r="I74" s="279"/>
      <c r="J74" s="313"/>
      <c r="K74" s="340">
        <f>49970-16242.84+60035.94</f>
        <v>93763.1</v>
      </c>
      <c r="L74" s="313"/>
      <c r="M74" s="341">
        <f t="shared" si="4"/>
        <v>0</v>
      </c>
      <c r="N74" s="311"/>
      <c r="O74" s="59"/>
      <c r="Q74" s="534"/>
    </row>
    <row r="75" spans="1:17" s="71" customFormat="1" hidden="1">
      <c r="A75" s="334" t="s">
        <v>20</v>
      </c>
      <c r="B75" s="335" t="s">
        <v>150</v>
      </c>
      <c r="C75" s="336">
        <v>42634</v>
      </c>
      <c r="D75" s="279" t="s">
        <v>9</v>
      </c>
      <c r="E75" s="337">
        <v>490473.728</v>
      </c>
      <c r="F75" s="338">
        <f>+E75</f>
        <v>490473.728</v>
      </c>
      <c r="G75" s="339">
        <f>+C75+90</f>
        <v>42724</v>
      </c>
      <c r="H75" s="278">
        <v>390000</v>
      </c>
      <c r="I75" s="279"/>
      <c r="J75" s="280">
        <v>42719</v>
      </c>
      <c r="K75" s="340">
        <v>483301.39899999998</v>
      </c>
      <c r="L75" s="313"/>
      <c r="M75" s="341">
        <f t="shared" si="4"/>
        <v>7172.329000000027</v>
      </c>
      <c r="N75" s="311"/>
      <c r="O75" s="59"/>
      <c r="Q75" s="534"/>
    </row>
    <row r="76" spans="1:17" s="83" customFormat="1" hidden="1">
      <c r="A76" s="172" t="s">
        <v>17</v>
      </c>
      <c r="B76" s="173" t="s">
        <v>153</v>
      </c>
      <c r="C76" s="174">
        <v>42646</v>
      </c>
      <c r="D76" s="175" t="s">
        <v>19</v>
      </c>
      <c r="E76" s="176">
        <v>206062.8</v>
      </c>
      <c r="F76" s="177">
        <f>+E76*2.1936</f>
        <v>452019.35807999998</v>
      </c>
      <c r="G76" s="267">
        <f>+C76+120</f>
        <v>42766</v>
      </c>
      <c r="H76" s="179"/>
      <c r="I76" s="175"/>
      <c r="J76" s="178"/>
      <c r="K76" s="180">
        <f>90445.6+62781.5+52565.5</f>
        <v>205792.6</v>
      </c>
      <c r="L76" s="181"/>
      <c r="M76" s="182">
        <f t="shared" si="4"/>
        <v>270.19999999998254</v>
      </c>
      <c r="N76" s="327"/>
      <c r="O76" s="82"/>
      <c r="Q76" s="312"/>
    </row>
    <row r="77" spans="1:17" s="71" customFormat="1" hidden="1">
      <c r="A77" s="334" t="s">
        <v>20</v>
      </c>
      <c r="B77" s="335" t="s">
        <v>152</v>
      </c>
      <c r="C77" s="336">
        <v>42647</v>
      </c>
      <c r="D77" s="279" t="s">
        <v>16</v>
      </c>
      <c r="E77" s="337">
        <v>90619.199999999997</v>
      </c>
      <c r="F77" s="338">
        <f>+E77*2.4659</f>
        <v>223457.88527999999</v>
      </c>
      <c r="G77" s="339">
        <f>+C77+90</f>
        <v>42737</v>
      </c>
      <c r="H77" s="278"/>
      <c r="I77" s="279"/>
      <c r="J77" s="280"/>
      <c r="K77" s="340">
        <f>99832.71-60035.94+50800</f>
        <v>90596.77</v>
      </c>
      <c r="L77" s="313"/>
      <c r="M77" s="341">
        <f t="shared" si="4"/>
        <v>22.429999999993015</v>
      </c>
      <c r="N77" s="311"/>
      <c r="O77" s="59"/>
      <c r="Q77" s="534"/>
    </row>
    <row r="78" spans="1:17" s="83" customFormat="1" hidden="1">
      <c r="A78" s="172" t="s">
        <v>17</v>
      </c>
      <c r="B78" s="173" t="s">
        <v>154</v>
      </c>
      <c r="C78" s="174">
        <v>42661</v>
      </c>
      <c r="D78" s="175" t="s">
        <v>19</v>
      </c>
      <c r="E78" s="176">
        <v>137375.20000000001</v>
      </c>
      <c r="F78" s="177">
        <f>E78*2.23355</f>
        <v>306834.37796000007</v>
      </c>
      <c r="G78" s="267">
        <f>+C78+120</f>
        <v>42781</v>
      </c>
      <c r="H78" s="179"/>
      <c r="I78" s="175"/>
      <c r="J78" s="178"/>
      <c r="K78" s="180">
        <f>60289.4+76922.5</f>
        <v>137211.9</v>
      </c>
      <c r="L78" s="181"/>
      <c r="M78" s="182">
        <f t="shared" si="4"/>
        <v>163.30000000001746</v>
      </c>
      <c r="N78" s="327"/>
      <c r="O78" s="82"/>
      <c r="Q78" s="312"/>
    </row>
    <row r="79" spans="1:17" s="71" customFormat="1" hidden="1">
      <c r="A79" s="334" t="s">
        <v>20</v>
      </c>
      <c r="B79" s="335" t="s">
        <v>155</v>
      </c>
      <c r="C79" s="336">
        <v>42667</v>
      </c>
      <c r="D79" s="279" t="s">
        <v>16</v>
      </c>
      <c r="E79" s="337">
        <v>275267.21999999997</v>
      </c>
      <c r="F79" s="338">
        <f>E79*2.4408</f>
        <v>671872.23057599994</v>
      </c>
      <c r="G79" s="339">
        <f>+C79+90</f>
        <v>42757</v>
      </c>
      <c r="H79" s="278"/>
      <c r="I79" s="279"/>
      <c r="J79" s="280"/>
      <c r="K79" s="340">
        <f>86880.37-50800+49880.54+99832.65+50000+39400</f>
        <v>275193.56</v>
      </c>
      <c r="L79" s="313"/>
      <c r="M79" s="341">
        <f t="shared" si="4"/>
        <v>73.659999999974389</v>
      </c>
      <c r="N79" s="311"/>
      <c r="O79" s="59"/>
      <c r="Q79" s="534"/>
    </row>
    <row r="80" spans="1:17" s="71" customFormat="1" hidden="1">
      <c r="A80" s="334" t="s">
        <v>20</v>
      </c>
      <c r="B80" s="335" t="s">
        <v>156</v>
      </c>
      <c r="C80" s="336">
        <v>42674</v>
      </c>
      <c r="D80" s="279" t="s">
        <v>16</v>
      </c>
      <c r="E80" s="337">
        <v>267067.84999999998</v>
      </c>
      <c r="F80" s="338">
        <f>E80*2.45085</f>
        <v>654543.24017249991</v>
      </c>
      <c r="G80" s="339">
        <f>C80+90</f>
        <v>42764</v>
      </c>
      <c r="H80" s="278"/>
      <c r="I80" s="279"/>
      <c r="J80" s="280"/>
      <c r="K80" s="340">
        <f>11960+49900+24900+89900+79950+10400</f>
        <v>267010</v>
      </c>
      <c r="L80" s="313"/>
      <c r="M80" s="341">
        <f t="shared" si="4"/>
        <v>57.849999999976717</v>
      </c>
      <c r="N80" s="311"/>
      <c r="O80" s="59"/>
      <c r="Q80" s="534"/>
    </row>
    <row r="81" spans="1:17" s="83" customFormat="1" hidden="1">
      <c r="A81" s="172" t="s">
        <v>21</v>
      </c>
      <c r="B81" s="173" t="s">
        <v>157</v>
      </c>
      <c r="C81" s="174">
        <v>42682</v>
      </c>
      <c r="D81" s="175" t="s">
        <v>19</v>
      </c>
      <c r="E81" s="176">
        <v>61851.199999999997</v>
      </c>
      <c r="F81" s="177">
        <f>+E81*2.22055</f>
        <v>137343.68215999997</v>
      </c>
      <c r="G81" s="267">
        <f>+C81+90</f>
        <v>42772</v>
      </c>
      <c r="H81" s="179"/>
      <c r="I81" s="175"/>
      <c r="J81" s="178"/>
      <c r="K81" s="180">
        <v>61851.199999999997</v>
      </c>
      <c r="L81" s="181"/>
      <c r="M81" s="182">
        <f t="shared" si="4"/>
        <v>0</v>
      </c>
      <c r="N81" s="327"/>
      <c r="O81" s="82"/>
      <c r="Q81" s="312"/>
    </row>
    <row r="82" spans="1:17" s="71" customFormat="1" hidden="1">
      <c r="A82" s="334" t="s">
        <v>15</v>
      </c>
      <c r="B82" s="335" t="s">
        <v>158</v>
      </c>
      <c r="C82" s="336">
        <v>42688</v>
      </c>
      <c r="D82" s="279" t="s">
        <v>16</v>
      </c>
      <c r="E82" s="337">
        <v>63212.1</v>
      </c>
      <c r="F82" s="338">
        <f>+E82*2.43455</f>
        <v>153893.01805500002</v>
      </c>
      <c r="G82" s="339">
        <f>+C82+60</f>
        <v>42748</v>
      </c>
      <c r="H82" s="278"/>
      <c r="I82" s="279"/>
      <c r="J82" s="280"/>
      <c r="K82" s="340">
        <v>63200</v>
      </c>
      <c r="L82" s="313"/>
      <c r="M82" s="341">
        <f t="shared" si="4"/>
        <v>12.099999999998545</v>
      </c>
      <c r="N82" s="311"/>
      <c r="O82" s="59"/>
      <c r="Q82" s="534"/>
    </row>
    <row r="83" spans="1:17" s="83" customFormat="1" hidden="1">
      <c r="A83" s="172" t="s">
        <v>17</v>
      </c>
      <c r="B83" s="173" t="s">
        <v>159</v>
      </c>
      <c r="C83" s="174">
        <v>42695</v>
      </c>
      <c r="D83" s="175" t="s">
        <v>19</v>
      </c>
      <c r="E83" s="176">
        <v>218812.7</v>
      </c>
      <c r="F83" s="177">
        <f>+E83*2.2844</f>
        <v>499855.73188000009</v>
      </c>
      <c r="G83" s="267">
        <f>+C83+120</f>
        <v>42815</v>
      </c>
      <c r="H83" s="179">
        <v>400000</v>
      </c>
      <c r="I83" s="175"/>
      <c r="J83" s="178">
        <v>42819</v>
      </c>
      <c r="K83" s="180">
        <f>90505.8+128142.5</f>
        <v>218648.3</v>
      </c>
      <c r="L83" s="181"/>
      <c r="M83" s="182">
        <f t="shared" si="4"/>
        <v>164.40000000002328</v>
      </c>
      <c r="N83" s="327"/>
      <c r="O83" s="310"/>
      <c r="Q83" s="312"/>
    </row>
    <row r="84" spans="1:17" s="83" customFormat="1">
      <c r="A84" s="197" t="s">
        <v>21</v>
      </c>
      <c r="B84" s="198" t="s">
        <v>161</v>
      </c>
      <c r="C84" s="199">
        <v>42703</v>
      </c>
      <c r="D84" s="204" t="s">
        <v>19</v>
      </c>
      <c r="E84" s="200">
        <v>60082</v>
      </c>
      <c r="F84" s="201">
        <f>+E84*2.2879</f>
        <v>137461.6078</v>
      </c>
      <c r="G84" s="202">
        <f>+C84+90</f>
        <v>42793</v>
      </c>
      <c r="H84" s="203"/>
      <c r="I84" s="204"/>
      <c r="J84" s="306"/>
      <c r="K84" s="205"/>
      <c r="L84" s="206"/>
      <c r="M84" s="263">
        <f t="shared" si="4"/>
        <v>60082</v>
      </c>
      <c r="N84" s="327"/>
      <c r="O84" s="82"/>
      <c r="Q84" s="312"/>
    </row>
    <row r="85" spans="1:17" s="71" customFormat="1" hidden="1">
      <c r="A85" s="334" t="s">
        <v>20</v>
      </c>
      <c r="B85" s="335" t="s">
        <v>165</v>
      </c>
      <c r="C85" s="336">
        <v>42714</v>
      </c>
      <c r="D85" s="279" t="s">
        <v>16</v>
      </c>
      <c r="E85" s="337">
        <v>189405.85</v>
      </c>
      <c r="F85" s="338">
        <f>+E85*2.42685</f>
        <v>459659.58707250003</v>
      </c>
      <c r="G85" s="339">
        <f>+C85+90</f>
        <v>42804</v>
      </c>
      <c r="H85" s="278"/>
      <c r="I85" s="279"/>
      <c r="J85" s="280"/>
      <c r="K85" s="340">
        <f>11585+24960+59900+21930+14930+27960+28100</f>
        <v>189365</v>
      </c>
      <c r="L85" s="313"/>
      <c r="M85" s="341">
        <f t="shared" si="4"/>
        <v>40.850000000005821</v>
      </c>
      <c r="N85" s="311"/>
      <c r="O85" s="59"/>
      <c r="Q85" s="534"/>
    </row>
    <row r="86" spans="1:17" s="71" customFormat="1" hidden="1">
      <c r="A86" s="334" t="s">
        <v>20</v>
      </c>
      <c r="B86" s="335" t="s">
        <v>166</v>
      </c>
      <c r="C86" s="336">
        <v>42731</v>
      </c>
      <c r="D86" s="279" t="s">
        <v>16</v>
      </c>
      <c r="E86" s="337">
        <v>288116.08</v>
      </c>
      <c r="F86" s="338">
        <f>+E86*2.41755</f>
        <v>696535.02920400002</v>
      </c>
      <c r="G86" s="339">
        <f>+C86+60</f>
        <v>42791</v>
      </c>
      <c r="H86" s="278"/>
      <c r="I86" s="279"/>
      <c r="J86" s="280"/>
      <c r="K86" s="340">
        <f>31982-28100+27930+26000+14982+21955+40955+45000+51000+39900+16500</f>
        <v>288104</v>
      </c>
      <c r="L86" s="313"/>
      <c r="M86" s="341">
        <f t="shared" si="4"/>
        <v>12.080000000016298</v>
      </c>
      <c r="N86" s="311"/>
      <c r="O86" s="59"/>
      <c r="Q86" s="534"/>
    </row>
    <row r="87" spans="1:17" s="83" customFormat="1" hidden="1">
      <c r="A87" s="172" t="s">
        <v>17</v>
      </c>
      <c r="B87" s="173" t="s">
        <v>172</v>
      </c>
      <c r="C87" s="174">
        <v>42733</v>
      </c>
      <c r="D87" s="175" t="s">
        <v>19</v>
      </c>
      <c r="E87" s="176">
        <v>145787.49</v>
      </c>
      <c r="F87" s="177">
        <f>+E87*2.31175</f>
        <v>337024.23000749998</v>
      </c>
      <c r="G87" s="267">
        <f>+C87+120</f>
        <v>42853</v>
      </c>
      <c r="H87" s="179"/>
      <c r="I87" s="175"/>
      <c r="J87" s="178"/>
      <c r="K87" s="180">
        <f>60280.4+85392</f>
        <v>145672.4</v>
      </c>
      <c r="L87" s="181"/>
      <c r="M87" s="182">
        <f t="shared" si="4"/>
        <v>115.08999999999651</v>
      </c>
      <c r="N87" s="327"/>
      <c r="O87" s="82"/>
      <c r="Q87" s="312"/>
    </row>
    <row r="88" spans="1:17" s="71" customFormat="1" hidden="1">
      <c r="A88" s="334" t="s">
        <v>20</v>
      </c>
      <c r="B88" s="335" t="s">
        <v>174</v>
      </c>
      <c r="C88" s="336">
        <v>42753</v>
      </c>
      <c r="D88" s="279" t="s">
        <v>16</v>
      </c>
      <c r="E88" s="337">
        <v>288576.96000000002</v>
      </c>
      <c r="F88" s="338">
        <f>+E88*2.42535</f>
        <v>699900.12993599998</v>
      </c>
      <c r="G88" s="339">
        <f>+C88+60</f>
        <v>42813</v>
      </c>
      <c r="H88" s="278"/>
      <c r="I88" s="279"/>
      <c r="J88" s="280"/>
      <c r="K88" s="340">
        <f>34000-16500+40000+35000+50500+10000+74500+54500+6500</f>
        <v>288500</v>
      </c>
      <c r="L88" s="313"/>
      <c r="M88" s="341">
        <f t="shared" si="4"/>
        <v>76.960000000020955</v>
      </c>
      <c r="N88" s="311"/>
      <c r="O88" s="59"/>
      <c r="Q88" s="534"/>
    </row>
    <row r="89" spans="1:17" s="71" customFormat="1" hidden="1">
      <c r="A89" s="334" t="s">
        <v>20</v>
      </c>
      <c r="B89" s="335" t="s">
        <v>175</v>
      </c>
      <c r="C89" s="336">
        <v>42772</v>
      </c>
      <c r="D89" s="279" t="s">
        <v>16</v>
      </c>
      <c r="E89" s="337">
        <v>90850.1</v>
      </c>
      <c r="F89" s="338">
        <f>+E89*2.4309</f>
        <v>220847.50808999999</v>
      </c>
      <c r="G89" s="339">
        <f>+C89+60</f>
        <v>42832</v>
      </c>
      <c r="H89" s="278"/>
      <c r="I89" s="279"/>
      <c r="J89" s="280"/>
      <c r="K89" s="340">
        <f>24600-6500+72500</f>
        <v>90600</v>
      </c>
      <c r="L89" s="313"/>
      <c r="M89" s="341">
        <f t="shared" si="4"/>
        <v>250.10000000000582</v>
      </c>
      <c r="N89" s="311"/>
      <c r="O89" s="59"/>
      <c r="P89" s="536"/>
      <c r="Q89" s="534"/>
    </row>
    <row r="90" spans="1:17" s="83" customFormat="1" hidden="1">
      <c r="A90" s="172" t="s">
        <v>17</v>
      </c>
      <c r="B90" s="173" t="s">
        <v>178</v>
      </c>
      <c r="C90" s="174">
        <v>42786</v>
      </c>
      <c r="D90" s="175" t="s">
        <v>19</v>
      </c>
      <c r="E90" s="176">
        <v>152438.76999999999</v>
      </c>
      <c r="F90" s="177">
        <f>+E90*2.2847</f>
        <v>348276.85781899997</v>
      </c>
      <c r="G90" s="267">
        <f>+C90+120</f>
        <v>42906</v>
      </c>
      <c r="H90" s="179"/>
      <c r="I90" s="175"/>
      <c r="J90" s="178"/>
      <c r="K90" s="180">
        <f>60270.4+91998.5</f>
        <v>152268.9</v>
      </c>
      <c r="L90" s="181"/>
      <c r="M90" s="182">
        <f t="shared" si="4"/>
        <v>169.86999999999534</v>
      </c>
      <c r="N90" s="327"/>
      <c r="O90" s="82"/>
      <c r="P90" s="679"/>
      <c r="Q90" s="534"/>
    </row>
    <row r="91" spans="1:17" s="71" customFormat="1" hidden="1">
      <c r="A91" s="334" t="s">
        <v>20</v>
      </c>
      <c r="B91" s="335" t="s">
        <v>181</v>
      </c>
      <c r="C91" s="336">
        <v>42786</v>
      </c>
      <c r="D91" s="279" t="s">
        <v>16</v>
      </c>
      <c r="E91" s="337">
        <v>103380.36</v>
      </c>
      <c r="F91" s="338">
        <f>+E91*2.41935</f>
        <v>250113.27396600001</v>
      </c>
      <c r="G91" s="339">
        <f>+C91+60</f>
        <v>42846</v>
      </c>
      <c r="H91" s="179"/>
      <c r="I91" s="279"/>
      <c r="J91" s="280"/>
      <c r="K91" s="340">
        <f>44000+59200</f>
        <v>103200</v>
      </c>
      <c r="L91" s="313"/>
      <c r="M91" s="341">
        <f t="shared" si="4"/>
        <v>180.36000000000058</v>
      </c>
      <c r="N91" s="311"/>
      <c r="O91" s="59"/>
      <c r="P91" s="536"/>
      <c r="Q91" s="534"/>
    </row>
    <row r="92" spans="1:17" s="83" customFormat="1" hidden="1">
      <c r="A92" s="172" t="s">
        <v>17</v>
      </c>
      <c r="B92" s="173" t="s">
        <v>184</v>
      </c>
      <c r="C92" s="174">
        <v>42827</v>
      </c>
      <c r="D92" s="175" t="s">
        <v>19</v>
      </c>
      <c r="E92" s="176">
        <v>153807</v>
      </c>
      <c r="F92" s="177">
        <f>+E92*2.25845</f>
        <v>347365.41914999997</v>
      </c>
      <c r="G92" s="267">
        <f>+C92+120</f>
        <v>42947</v>
      </c>
      <c r="H92" s="179"/>
      <c r="I92" s="175"/>
      <c r="J92" s="178"/>
      <c r="K92" s="180">
        <f>60269.4+93352.5</f>
        <v>153621.9</v>
      </c>
      <c r="L92" s="181"/>
      <c r="M92" s="182">
        <f t="shared" si="4"/>
        <v>185.10000000000582</v>
      </c>
      <c r="N92" s="327"/>
      <c r="O92" s="82"/>
      <c r="P92" s="679"/>
      <c r="Q92" s="534"/>
    </row>
    <row r="93" spans="1:17" s="71" customFormat="1" hidden="1">
      <c r="A93" s="334" t="s">
        <v>20</v>
      </c>
      <c r="B93" s="335" t="s">
        <v>185</v>
      </c>
      <c r="C93" s="336">
        <v>42823</v>
      </c>
      <c r="D93" s="279" t="s">
        <v>16</v>
      </c>
      <c r="E93" s="337">
        <v>294951.15000000002</v>
      </c>
      <c r="F93" s="338">
        <f>+E93*2.42915</f>
        <v>716480.58602250007</v>
      </c>
      <c r="G93" s="339">
        <f t="shared" ref="G93:G133" si="5">+C93+60</f>
        <v>42883</v>
      </c>
      <c r="H93" s="278"/>
      <c r="I93" s="279"/>
      <c r="J93" s="280"/>
      <c r="K93" s="340">
        <f>250000+44800</f>
        <v>294800</v>
      </c>
      <c r="L93" s="313"/>
      <c r="M93" s="341">
        <f t="shared" si="4"/>
        <v>151.15000000002328</v>
      </c>
      <c r="N93" s="311"/>
      <c r="O93" s="59"/>
      <c r="Q93" s="534"/>
    </row>
    <row r="94" spans="1:17" s="71" customFormat="1" hidden="1">
      <c r="A94" s="238" t="s">
        <v>15</v>
      </c>
      <c r="B94" s="239" t="s">
        <v>187</v>
      </c>
      <c r="C94" s="240">
        <v>42849</v>
      </c>
      <c r="D94" s="241" t="s">
        <v>16</v>
      </c>
      <c r="E94" s="242">
        <v>34976.019999999997</v>
      </c>
      <c r="F94" s="243">
        <f>+E94*2.48185</f>
        <v>86805.235237000001</v>
      </c>
      <c r="G94" s="485">
        <f t="shared" si="5"/>
        <v>42909</v>
      </c>
      <c r="H94" s="261"/>
      <c r="I94" s="241"/>
      <c r="J94" s="262"/>
      <c r="K94" s="245">
        <f>15600+9960+9266.92</f>
        <v>34826.92</v>
      </c>
      <c r="L94" s="244"/>
      <c r="M94" s="265">
        <f t="shared" si="4"/>
        <v>149.09999999999854</v>
      </c>
      <c r="N94" s="311"/>
      <c r="O94" s="59"/>
      <c r="Q94" s="534"/>
    </row>
    <row r="95" spans="1:17" s="71" customFormat="1" hidden="1">
      <c r="A95" s="334" t="s">
        <v>20</v>
      </c>
      <c r="B95" s="335" t="s">
        <v>188</v>
      </c>
      <c r="C95" s="336">
        <v>42863</v>
      </c>
      <c r="D95" s="279" t="s">
        <v>16</v>
      </c>
      <c r="E95" s="337">
        <v>184309.16</v>
      </c>
      <c r="F95" s="338">
        <f>+E95*2.6311</f>
        <v>484935.83087599999</v>
      </c>
      <c r="G95" s="339">
        <f t="shared" si="5"/>
        <v>42923</v>
      </c>
      <c r="H95" s="278"/>
      <c r="I95" s="279"/>
      <c r="J95" s="280"/>
      <c r="K95" s="340">
        <f>36000+15000+95000+4000+34200</f>
        <v>184200</v>
      </c>
      <c r="L95" s="313"/>
      <c r="M95" s="341">
        <f t="shared" si="4"/>
        <v>109.16000000000349</v>
      </c>
      <c r="N95" s="311"/>
      <c r="O95" s="59"/>
      <c r="Q95" s="534"/>
    </row>
    <row r="96" spans="1:17" s="71" customFormat="1" hidden="1">
      <c r="A96" s="334" t="s">
        <v>20</v>
      </c>
      <c r="B96" s="335" t="s">
        <v>193</v>
      </c>
      <c r="C96" s="336">
        <v>42898</v>
      </c>
      <c r="D96" s="279" t="s">
        <v>16</v>
      </c>
      <c r="E96" s="337">
        <v>295149.58</v>
      </c>
      <c r="F96" s="338">
        <f>+E96*2.74135</f>
        <v>809108.30113300006</v>
      </c>
      <c r="G96" s="339">
        <f t="shared" si="5"/>
        <v>42958</v>
      </c>
      <c r="H96" s="278"/>
      <c r="I96" s="279"/>
      <c r="J96" s="280"/>
      <c r="K96" s="340">
        <f>70000-34200+86000+111000+62300</f>
        <v>295100</v>
      </c>
      <c r="L96" s="313"/>
      <c r="M96" s="341">
        <f t="shared" si="4"/>
        <v>49.580000000016298</v>
      </c>
      <c r="N96" s="311"/>
      <c r="O96" s="59"/>
      <c r="Q96" s="534"/>
    </row>
    <row r="97" spans="1:22" s="71" customFormat="1">
      <c r="A97" s="318" t="s">
        <v>15</v>
      </c>
      <c r="B97" s="316" t="s">
        <v>194</v>
      </c>
      <c r="C97" s="319">
        <v>42906</v>
      </c>
      <c r="D97" s="208" t="s">
        <v>16</v>
      </c>
      <c r="E97" s="320">
        <v>52992.7</v>
      </c>
      <c r="F97" s="317">
        <f>+E97*2.7377</f>
        <v>145078.11478999999</v>
      </c>
      <c r="G97" s="321">
        <f t="shared" si="5"/>
        <v>42966</v>
      </c>
      <c r="H97" s="209"/>
      <c r="I97" s="208"/>
      <c r="J97" s="322"/>
      <c r="K97" s="211"/>
      <c r="L97" s="210"/>
      <c r="M97" s="264">
        <f t="shared" si="4"/>
        <v>52992.7</v>
      </c>
      <c r="N97" s="311"/>
      <c r="O97" s="59"/>
      <c r="Q97" s="534"/>
    </row>
    <row r="98" spans="1:22" s="71" customFormat="1" hidden="1">
      <c r="A98" s="334" t="s">
        <v>20</v>
      </c>
      <c r="B98" s="335" t="s">
        <v>205</v>
      </c>
      <c r="C98" s="336">
        <v>42933</v>
      </c>
      <c r="D98" s="279" t="s">
        <v>16</v>
      </c>
      <c r="E98" s="337">
        <v>286403.78999999998</v>
      </c>
      <c r="F98" s="338">
        <f>+E98*2.7746</f>
        <v>794655.95573399996</v>
      </c>
      <c r="G98" s="339">
        <f t="shared" si="5"/>
        <v>42993</v>
      </c>
      <c r="H98" s="278"/>
      <c r="I98" s="279"/>
      <c r="J98" s="280"/>
      <c r="K98" s="340">
        <f>180000+47200+7500+51650</f>
        <v>286350</v>
      </c>
      <c r="L98" s="313"/>
      <c r="M98" s="341">
        <f t="shared" si="4"/>
        <v>53.789999999979045</v>
      </c>
      <c r="N98" s="311"/>
      <c r="O98" s="59"/>
      <c r="Q98" s="534"/>
    </row>
    <row r="99" spans="1:22" s="71" customFormat="1" hidden="1">
      <c r="A99" s="238" t="s">
        <v>20</v>
      </c>
      <c r="B99" s="239" t="s">
        <v>212</v>
      </c>
      <c r="C99" s="240">
        <v>42963</v>
      </c>
      <c r="D99" s="241" t="s">
        <v>16</v>
      </c>
      <c r="E99" s="242">
        <v>94511.3</v>
      </c>
      <c r="F99" s="243">
        <f>+E99*2.80685</f>
        <v>265279.04240500001</v>
      </c>
      <c r="G99" s="485">
        <f t="shared" si="5"/>
        <v>43023</v>
      </c>
      <c r="H99" s="261"/>
      <c r="I99" s="241"/>
      <c r="J99" s="262"/>
      <c r="K99" s="245">
        <f>125000-51650+21100</f>
        <v>94450</v>
      </c>
      <c r="L99" s="244"/>
      <c r="M99" s="265">
        <f t="shared" si="4"/>
        <v>61.30000000000291</v>
      </c>
      <c r="N99" s="311"/>
      <c r="O99" s="59"/>
      <c r="Q99" s="534"/>
    </row>
    <row r="100" spans="1:22" s="71" customFormat="1" hidden="1">
      <c r="A100" s="238" t="s">
        <v>20</v>
      </c>
      <c r="B100" s="239" t="s">
        <v>214</v>
      </c>
      <c r="C100" s="240">
        <v>42975</v>
      </c>
      <c r="D100" s="241" t="s">
        <v>16</v>
      </c>
      <c r="E100" s="242">
        <v>278132.68</v>
      </c>
      <c r="F100" s="243">
        <f>+E100*2.88515</f>
        <v>802454.50170199992</v>
      </c>
      <c r="G100" s="485">
        <f t="shared" si="5"/>
        <v>43035</v>
      </c>
      <c r="H100" s="261"/>
      <c r="I100" s="241"/>
      <c r="J100" s="262"/>
      <c r="K100" s="245">
        <f>100000-21100+102000+97200</f>
        <v>278100</v>
      </c>
      <c r="L100" s="244"/>
      <c r="M100" s="265">
        <f t="shared" si="4"/>
        <v>32.679999999993015</v>
      </c>
      <c r="N100" s="311"/>
      <c r="O100" s="59"/>
      <c r="Q100" s="534"/>
    </row>
    <row r="101" spans="1:22" s="71" customFormat="1" hidden="1">
      <c r="A101" s="238" t="s">
        <v>20</v>
      </c>
      <c r="B101" s="239" t="s">
        <v>219</v>
      </c>
      <c r="C101" s="240">
        <v>43010</v>
      </c>
      <c r="D101" s="241" t="s">
        <v>16</v>
      </c>
      <c r="E101" s="242">
        <v>94696.34</v>
      </c>
      <c r="F101" s="243">
        <f>+E101*2.8948</f>
        <v>274126.96503199998</v>
      </c>
      <c r="G101" s="485">
        <f t="shared" si="5"/>
        <v>43070</v>
      </c>
      <c r="H101" s="261"/>
      <c r="I101" s="241"/>
      <c r="J101" s="262"/>
      <c r="K101" s="245">
        <v>94650</v>
      </c>
      <c r="L101" s="244"/>
      <c r="M101" s="265">
        <f t="shared" si="4"/>
        <v>46.339999999996508</v>
      </c>
      <c r="N101" s="311"/>
      <c r="O101" s="59"/>
      <c r="Q101" s="534"/>
    </row>
    <row r="102" spans="1:22" s="71" customFormat="1" hidden="1">
      <c r="A102" s="238" t="s">
        <v>20</v>
      </c>
      <c r="B102" s="239" t="s">
        <v>222</v>
      </c>
      <c r="C102" s="240">
        <v>43019</v>
      </c>
      <c r="D102" s="241" t="s">
        <v>16</v>
      </c>
      <c r="E102" s="242">
        <v>87025.13</v>
      </c>
      <c r="F102" s="243">
        <f>+E102*2.902</f>
        <v>252546.92726000003</v>
      </c>
      <c r="G102" s="485">
        <f t="shared" si="5"/>
        <v>43079</v>
      </c>
      <c r="H102" s="261"/>
      <c r="I102" s="241"/>
      <c r="J102" s="262"/>
      <c r="K102" s="245">
        <f>8150+78800</f>
        <v>86950</v>
      </c>
      <c r="L102" s="244"/>
      <c r="M102" s="265">
        <f t="shared" si="4"/>
        <v>75.130000000004657</v>
      </c>
      <c r="N102" s="311"/>
      <c r="O102" s="59"/>
      <c r="Q102" s="534"/>
    </row>
    <row r="103" spans="1:22" s="71" customFormat="1" hidden="1">
      <c r="A103" s="238" t="s">
        <v>20</v>
      </c>
      <c r="B103" s="239" t="s">
        <v>224</v>
      </c>
      <c r="C103" s="240">
        <v>43026</v>
      </c>
      <c r="D103" s="241" t="s">
        <v>16</v>
      </c>
      <c r="E103" s="242">
        <v>98676.9</v>
      </c>
      <c r="F103" s="243">
        <f>+E103*2.89915</f>
        <v>286079.13463499997</v>
      </c>
      <c r="G103" s="485">
        <f t="shared" si="5"/>
        <v>43086</v>
      </c>
      <c r="H103" s="261"/>
      <c r="I103" s="241"/>
      <c r="J103" s="262"/>
      <c r="K103" s="245">
        <v>98600</v>
      </c>
      <c r="L103" s="244"/>
      <c r="M103" s="265">
        <f t="shared" si="4"/>
        <v>76.899999999994179</v>
      </c>
      <c r="N103" s="311"/>
      <c r="O103" s="59"/>
      <c r="Q103" s="534"/>
    </row>
    <row r="104" spans="1:22" s="71" customFormat="1" hidden="1">
      <c r="A104" s="238" t="s">
        <v>20</v>
      </c>
      <c r="B104" s="239" t="s">
        <v>225</v>
      </c>
      <c r="C104" s="240">
        <v>43031</v>
      </c>
      <c r="D104" s="241" t="s">
        <v>16</v>
      </c>
      <c r="E104" s="242">
        <v>90761.4</v>
      </c>
      <c r="F104" s="243">
        <f>+E104*2.9083</f>
        <v>263961.37962000002</v>
      </c>
      <c r="G104" s="485">
        <f t="shared" si="5"/>
        <v>43091</v>
      </c>
      <c r="H104" s="261"/>
      <c r="I104" s="241"/>
      <c r="J104" s="262"/>
      <c r="K104" s="245">
        <f>22600+60000+8100</f>
        <v>90700</v>
      </c>
      <c r="L104" s="244"/>
      <c r="M104" s="265">
        <f t="shared" si="4"/>
        <v>61.399999999994179</v>
      </c>
      <c r="N104" s="311"/>
      <c r="O104" s="59"/>
      <c r="Q104" s="534"/>
    </row>
    <row r="105" spans="1:22" s="71" customFormat="1" hidden="1">
      <c r="A105" s="238" t="s">
        <v>20</v>
      </c>
      <c r="B105" s="239" t="s">
        <v>230</v>
      </c>
      <c r="C105" s="240">
        <v>43035</v>
      </c>
      <c r="D105" s="241" t="s">
        <v>16</v>
      </c>
      <c r="E105" s="242">
        <v>101159.6</v>
      </c>
      <c r="F105" s="243">
        <f>+E105*2.9096</f>
        <v>294333.97216000006</v>
      </c>
      <c r="G105" s="485">
        <f t="shared" si="5"/>
        <v>43095</v>
      </c>
      <c r="H105" s="261"/>
      <c r="I105" s="241"/>
      <c r="J105" s="262"/>
      <c r="K105" s="245">
        <f>62000-8100+47200</f>
        <v>101100</v>
      </c>
      <c r="L105" s="244"/>
      <c r="M105" s="265">
        <f t="shared" si="4"/>
        <v>59.600000000005821</v>
      </c>
      <c r="N105" s="311"/>
      <c r="O105" s="59"/>
      <c r="Q105" s="534"/>
    </row>
    <row r="106" spans="1:22" s="71" customFormat="1" hidden="1">
      <c r="A106" s="238" t="s">
        <v>20</v>
      </c>
      <c r="B106" s="239" t="s">
        <v>231</v>
      </c>
      <c r="C106" s="240">
        <v>43041</v>
      </c>
      <c r="D106" s="241" t="s">
        <v>16</v>
      </c>
      <c r="E106" s="242">
        <v>101167.8</v>
      </c>
      <c r="F106" s="243">
        <f>+E106*2.8951</f>
        <v>292890.89778</v>
      </c>
      <c r="G106" s="485">
        <f t="shared" si="5"/>
        <v>43101</v>
      </c>
      <c r="H106" s="261"/>
      <c r="I106" s="241"/>
      <c r="J106" s="262"/>
      <c r="K106" s="245">
        <f>70000-47200+78350</f>
        <v>101150</v>
      </c>
      <c r="L106" s="244"/>
      <c r="M106" s="265">
        <f t="shared" si="4"/>
        <v>17.80000000000291</v>
      </c>
      <c r="N106" s="311"/>
      <c r="O106" s="59"/>
      <c r="P106" s="536"/>
      <c r="Q106" s="534"/>
    </row>
    <row r="107" spans="1:22" s="71" customFormat="1" hidden="1">
      <c r="A107" s="238" t="s">
        <v>20</v>
      </c>
      <c r="B107" s="239" t="s">
        <v>233</v>
      </c>
      <c r="C107" s="240">
        <v>43048</v>
      </c>
      <c r="D107" s="241" t="s">
        <v>16</v>
      </c>
      <c r="E107" s="242">
        <v>96608.7</v>
      </c>
      <c r="F107" s="243">
        <f>+E107*2.8966</f>
        <v>279836.76041999995</v>
      </c>
      <c r="G107" s="485">
        <f t="shared" si="5"/>
        <v>43108</v>
      </c>
      <c r="H107" s="261"/>
      <c r="I107" s="241"/>
      <c r="J107" s="262"/>
      <c r="K107" s="245">
        <v>96550.7</v>
      </c>
      <c r="L107" s="244"/>
      <c r="M107" s="265">
        <f t="shared" si="4"/>
        <v>58</v>
      </c>
      <c r="N107" s="311"/>
      <c r="O107" s="59"/>
      <c r="P107" s="536"/>
      <c r="Q107" s="534"/>
      <c r="S107" s="535"/>
      <c r="T107" s="535"/>
      <c r="U107" s="535"/>
    </row>
    <row r="108" spans="1:22" s="71" customFormat="1" hidden="1">
      <c r="A108" s="238" t="s">
        <v>20</v>
      </c>
      <c r="B108" s="239" t="s">
        <v>236</v>
      </c>
      <c r="C108" s="240">
        <v>43055</v>
      </c>
      <c r="D108" s="241" t="s">
        <v>16</v>
      </c>
      <c r="E108" s="242">
        <v>97238.05</v>
      </c>
      <c r="F108" s="243">
        <f>+E108*2.9226</f>
        <v>284187.92493000004</v>
      </c>
      <c r="G108" s="485">
        <f t="shared" si="5"/>
        <v>43115</v>
      </c>
      <c r="H108" s="261"/>
      <c r="I108" s="241"/>
      <c r="J108" s="262"/>
      <c r="K108" s="245">
        <f>35099.3+62100</f>
        <v>97199.3</v>
      </c>
      <c r="L108" s="244"/>
      <c r="M108" s="265">
        <f t="shared" si="4"/>
        <v>38.75</v>
      </c>
      <c r="N108" s="311"/>
      <c r="O108" s="59"/>
      <c r="P108" s="536"/>
      <c r="Q108" s="534"/>
      <c r="R108" s="536"/>
      <c r="S108" s="536"/>
      <c r="T108" s="536"/>
      <c r="U108" s="536"/>
    </row>
    <row r="109" spans="1:22" s="71" customFormat="1" hidden="1">
      <c r="A109" s="238" t="s">
        <v>20</v>
      </c>
      <c r="B109" s="239" t="s">
        <v>239</v>
      </c>
      <c r="C109" s="240">
        <v>43060</v>
      </c>
      <c r="D109" s="241" t="s">
        <v>16</v>
      </c>
      <c r="E109" s="242">
        <v>98581.08</v>
      </c>
      <c r="F109" s="243">
        <f>+E109*2.9136</f>
        <v>287225.83468800003</v>
      </c>
      <c r="G109" s="485">
        <f t="shared" si="5"/>
        <v>43120</v>
      </c>
      <c r="H109" s="261"/>
      <c r="I109" s="241"/>
      <c r="J109" s="262"/>
      <c r="K109" s="245">
        <f>120000-62100+40600</f>
        <v>98500</v>
      </c>
      <c r="L109" s="244"/>
      <c r="M109" s="265">
        <f t="shared" si="4"/>
        <v>81.080000000001746</v>
      </c>
      <c r="N109" s="311"/>
      <c r="O109" s="59"/>
      <c r="P109" s="536"/>
      <c r="Q109" s="534"/>
      <c r="R109" s="536"/>
      <c r="S109" s="536"/>
      <c r="T109" s="536"/>
      <c r="U109" s="536"/>
    </row>
    <row r="110" spans="1:22" s="71" customFormat="1" hidden="1">
      <c r="A110" s="238" t="s">
        <v>20</v>
      </c>
      <c r="B110" s="239" t="s">
        <v>241</v>
      </c>
      <c r="C110" s="240">
        <v>43062</v>
      </c>
      <c r="D110" s="241" t="s">
        <v>16</v>
      </c>
      <c r="E110" s="242">
        <v>98946.8</v>
      </c>
      <c r="F110" s="243">
        <f>+E110*2.9144</f>
        <v>288370.55392000003</v>
      </c>
      <c r="G110" s="485">
        <f t="shared" si="5"/>
        <v>43122</v>
      </c>
      <c r="H110" s="261"/>
      <c r="I110" s="241"/>
      <c r="J110" s="262"/>
      <c r="K110" s="245">
        <v>98900</v>
      </c>
      <c r="L110" s="244"/>
      <c r="M110" s="265">
        <f t="shared" si="4"/>
        <v>46.80000000000291</v>
      </c>
      <c r="N110" s="311"/>
      <c r="O110" s="59"/>
      <c r="Q110" s="534"/>
      <c r="R110" s="536"/>
      <c r="S110" s="536"/>
      <c r="T110" s="536"/>
      <c r="U110" s="536"/>
    </row>
    <row r="111" spans="1:22" s="71" customFormat="1" hidden="1">
      <c r="A111" s="238" t="s">
        <v>20</v>
      </c>
      <c r="B111" s="239" t="s">
        <v>244</v>
      </c>
      <c r="C111" s="240">
        <v>43075</v>
      </c>
      <c r="D111" s="241" t="s">
        <v>16</v>
      </c>
      <c r="E111" s="242">
        <v>185065.83</v>
      </c>
      <c r="F111" s="243">
        <f>+E111*2.9164</f>
        <v>539725.98661199992</v>
      </c>
      <c r="G111" s="485">
        <f t="shared" si="5"/>
        <v>43135</v>
      </c>
      <c r="H111" s="261"/>
      <c r="I111" s="241"/>
      <c r="J111" s="262"/>
      <c r="K111" s="245">
        <f>11500+46500+90000+37000</f>
        <v>185000</v>
      </c>
      <c r="L111" s="244"/>
      <c r="M111" s="265">
        <f t="shared" si="4"/>
        <v>65.829999999987194</v>
      </c>
      <c r="N111" s="311"/>
      <c r="O111" s="59"/>
      <c r="Q111" s="534"/>
      <c r="R111" s="536"/>
      <c r="S111" s="536"/>
      <c r="U111" s="536"/>
      <c r="V111" s="536"/>
    </row>
    <row r="112" spans="1:22" s="71" customFormat="1">
      <c r="A112" s="61" t="s">
        <v>15</v>
      </c>
      <c r="B112" s="62" t="s">
        <v>245</v>
      </c>
      <c r="C112" s="63">
        <v>43075</v>
      </c>
      <c r="D112" s="67" t="s">
        <v>16</v>
      </c>
      <c r="E112" s="64">
        <v>14634.52</v>
      </c>
      <c r="F112" s="65">
        <f>+E112*2.9164</f>
        <v>42680.114128000001</v>
      </c>
      <c r="G112" s="66">
        <f t="shared" si="5"/>
        <v>43135</v>
      </c>
      <c r="H112" s="236"/>
      <c r="I112" s="67"/>
      <c r="J112" s="235"/>
      <c r="K112" s="69"/>
      <c r="L112" s="68"/>
      <c r="M112" s="292">
        <f t="shared" si="4"/>
        <v>14634.52</v>
      </c>
      <c r="N112" s="311"/>
      <c r="O112" s="59"/>
      <c r="P112" s="534"/>
      <c r="Q112" s="534"/>
    </row>
    <row r="113" spans="1:17" s="71" customFormat="1" hidden="1">
      <c r="A113" s="238" t="s">
        <v>20</v>
      </c>
      <c r="B113" s="239" t="s">
        <v>248</v>
      </c>
      <c r="C113" s="240">
        <v>43082</v>
      </c>
      <c r="D113" s="241" t="s">
        <v>16</v>
      </c>
      <c r="E113" s="242">
        <v>168283.6</v>
      </c>
      <c r="F113" s="243">
        <f>+E113*2.9163</f>
        <v>490765.46268000006</v>
      </c>
      <c r="G113" s="485">
        <f t="shared" si="5"/>
        <v>43142</v>
      </c>
      <c r="H113" s="261"/>
      <c r="I113" s="241"/>
      <c r="J113" s="262"/>
      <c r="K113" s="245">
        <f>128000-37000+54980+22200</f>
        <v>168180</v>
      </c>
      <c r="L113" s="244"/>
      <c r="M113" s="265">
        <f t="shared" si="4"/>
        <v>103.60000000000582</v>
      </c>
      <c r="N113" s="311"/>
      <c r="O113" s="59"/>
      <c r="P113" s="534"/>
      <c r="Q113" s="534"/>
    </row>
    <row r="114" spans="1:17" s="71" customFormat="1">
      <c r="A114" s="61" t="s">
        <v>20</v>
      </c>
      <c r="B114" s="62" t="s">
        <v>249</v>
      </c>
      <c r="C114" s="63">
        <v>43083</v>
      </c>
      <c r="D114" s="67" t="s">
        <v>16</v>
      </c>
      <c r="E114" s="64">
        <v>88099.11</v>
      </c>
      <c r="F114" s="65">
        <f>+E114*2.9163</f>
        <v>256923.43449300001</v>
      </c>
      <c r="G114" s="66">
        <f t="shared" si="5"/>
        <v>43143</v>
      </c>
      <c r="H114" s="236"/>
      <c r="I114" s="67"/>
      <c r="J114" s="235"/>
      <c r="K114" s="69">
        <f>49985-22200</f>
        <v>27785</v>
      </c>
      <c r="L114" s="68"/>
      <c r="M114" s="292">
        <f t="shared" si="4"/>
        <v>60314.11</v>
      </c>
      <c r="N114" s="311"/>
      <c r="O114" s="59"/>
      <c r="Q114" s="534"/>
    </row>
    <row r="115" spans="1:17" s="71" customFormat="1">
      <c r="A115" s="61" t="s">
        <v>20</v>
      </c>
      <c r="B115" s="62" t="s">
        <v>252</v>
      </c>
      <c r="C115" s="63">
        <v>43091</v>
      </c>
      <c r="D115" s="67" t="s">
        <v>16</v>
      </c>
      <c r="E115" s="64">
        <v>97608.05</v>
      </c>
      <c r="F115" s="65">
        <f>+E115*2.92675</f>
        <v>285674.36033750005</v>
      </c>
      <c r="G115" s="66">
        <f t="shared" si="5"/>
        <v>43151</v>
      </c>
      <c r="H115" s="236"/>
      <c r="I115" s="67"/>
      <c r="J115" s="235"/>
      <c r="K115" s="69"/>
      <c r="L115" s="68"/>
      <c r="M115" s="292">
        <f t="shared" si="4"/>
        <v>97608.05</v>
      </c>
      <c r="N115" s="311"/>
      <c r="O115" s="59"/>
      <c r="Q115" s="534"/>
    </row>
    <row r="116" spans="1:17" s="71" customFormat="1">
      <c r="A116" s="61" t="s">
        <v>20</v>
      </c>
      <c r="B116" s="62" t="s">
        <v>254</v>
      </c>
      <c r="C116" s="63">
        <v>43104</v>
      </c>
      <c r="D116" s="67" t="s">
        <v>16</v>
      </c>
      <c r="E116" s="64">
        <v>102081.42</v>
      </c>
      <c r="F116" s="65">
        <f>+E116*2.94</f>
        <v>300119.37479999999</v>
      </c>
      <c r="G116" s="66">
        <f t="shared" si="5"/>
        <v>43164</v>
      </c>
      <c r="H116" s="236"/>
      <c r="I116" s="67"/>
      <c r="J116" s="235"/>
      <c r="K116" s="69"/>
      <c r="L116" s="68"/>
      <c r="M116" s="292">
        <f t="shared" si="4"/>
        <v>102081.42</v>
      </c>
      <c r="N116" s="311"/>
      <c r="O116" s="59"/>
      <c r="Q116" s="534"/>
    </row>
    <row r="117" spans="1:17" s="71" customFormat="1">
      <c r="A117" s="61" t="s">
        <v>20</v>
      </c>
      <c r="B117" s="62" t="s">
        <v>255</v>
      </c>
      <c r="C117" s="63">
        <v>43109</v>
      </c>
      <c r="D117" s="67" t="s">
        <v>16</v>
      </c>
      <c r="E117" s="64">
        <v>93737.67</v>
      </c>
      <c r="F117" s="65">
        <f>+E117*2.9394</f>
        <v>275532.50719799998</v>
      </c>
      <c r="G117" s="66">
        <f t="shared" si="5"/>
        <v>43169</v>
      </c>
      <c r="H117" s="236"/>
      <c r="I117" s="67"/>
      <c r="J117" s="235"/>
      <c r="K117" s="69"/>
      <c r="L117" s="68"/>
      <c r="M117" s="292">
        <f t="shared" si="4"/>
        <v>93737.67</v>
      </c>
      <c r="N117" s="311"/>
      <c r="O117" s="59"/>
      <c r="Q117" s="534"/>
    </row>
    <row r="118" spans="1:17" s="71" customFormat="1">
      <c r="A118" s="61" t="s">
        <v>257</v>
      </c>
      <c r="B118" s="62" t="s">
        <v>268</v>
      </c>
      <c r="C118" s="63">
        <v>43147</v>
      </c>
      <c r="D118" s="67" t="s">
        <v>16</v>
      </c>
      <c r="E118" s="64">
        <v>73120.639999999999</v>
      </c>
      <c r="F118" s="65">
        <f>+E118*2.9473</f>
        <v>215508.46227199998</v>
      </c>
      <c r="G118" s="66">
        <f t="shared" si="5"/>
        <v>43207</v>
      </c>
      <c r="H118" s="236"/>
      <c r="I118" s="67"/>
      <c r="J118" s="235"/>
      <c r="K118" s="69">
        <f>40000+30000</f>
        <v>70000</v>
      </c>
      <c r="L118" s="68"/>
      <c r="M118" s="292">
        <f t="shared" si="4"/>
        <v>3120.6399999999994</v>
      </c>
      <c r="N118" s="311"/>
      <c r="O118" s="59"/>
      <c r="Q118" s="534"/>
    </row>
    <row r="119" spans="1:17" s="71" customFormat="1" hidden="1">
      <c r="A119" s="238" t="s">
        <v>20</v>
      </c>
      <c r="B119" s="239" t="s">
        <v>272</v>
      </c>
      <c r="C119" s="240">
        <v>43165</v>
      </c>
      <c r="D119" s="241" t="s">
        <v>9</v>
      </c>
      <c r="E119" s="242"/>
      <c r="F119" s="243">
        <v>501228</v>
      </c>
      <c r="G119" s="485">
        <f t="shared" si="5"/>
        <v>43225</v>
      </c>
      <c r="H119" s="261"/>
      <c r="I119" s="241"/>
      <c r="J119" s="262"/>
      <c r="K119" s="245">
        <v>493175.53399999999</v>
      </c>
      <c r="L119" s="244"/>
      <c r="M119" s="265">
        <f>F119-K119</f>
        <v>8052.4660000000149</v>
      </c>
      <c r="N119" s="311"/>
      <c r="O119" s="59"/>
      <c r="Q119" s="534"/>
    </row>
    <row r="120" spans="1:17" s="71" customFormat="1" hidden="1">
      <c r="A120" s="238" t="s">
        <v>270</v>
      </c>
      <c r="B120" s="239" t="s">
        <v>271</v>
      </c>
      <c r="C120" s="240">
        <v>43174</v>
      </c>
      <c r="D120" s="241" t="s">
        <v>16</v>
      </c>
      <c r="E120" s="242">
        <v>74078.350000000006</v>
      </c>
      <c r="F120" s="243">
        <f>+E120*2.9419</f>
        <v>217931.09786500002</v>
      </c>
      <c r="G120" s="485">
        <f t="shared" si="5"/>
        <v>43234</v>
      </c>
      <c r="H120" s="261"/>
      <c r="I120" s="241"/>
      <c r="J120" s="262"/>
      <c r="K120" s="245">
        <f>5*12500+11578.35</f>
        <v>74078.350000000006</v>
      </c>
      <c r="L120" s="244"/>
      <c r="M120" s="265">
        <f t="shared" si="4"/>
        <v>0</v>
      </c>
      <c r="N120" s="311"/>
      <c r="O120" s="59"/>
      <c r="Q120" s="534"/>
    </row>
    <row r="121" spans="1:17" s="71" customFormat="1">
      <c r="A121" s="61" t="s">
        <v>20</v>
      </c>
      <c r="B121" s="62" t="s">
        <v>281</v>
      </c>
      <c r="C121" s="63">
        <v>43206</v>
      </c>
      <c r="D121" s="67" t="s">
        <v>16</v>
      </c>
      <c r="E121" s="64">
        <v>85002.64</v>
      </c>
      <c r="F121" s="65">
        <f>+E121*2.9521</f>
        <v>250936.29354400001</v>
      </c>
      <c r="G121" s="66">
        <f t="shared" si="5"/>
        <v>43266</v>
      </c>
      <c r="H121" s="236"/>
      <c r="I121" s="67"/>
      <c r="J121" s="235"/>
      <c r="K121" s="69"/>
      <c r="L121" s="68"/>
      <c r="M121" s="292">
        <f t="shared" si="4"/>
        <v>85002.64</v>
      </c>
      <c r="N121" s="311"/>
      <c r="O121" s="59"/>
      <c r="Q121" s="534"/>
    </row>
    <row r="122" spans="1:17" s="71" customFormat="1" hidden="1">
      <c r="A122" s="238" t="s">
        <v>270</v>
      </c>
      <c r="B122" s="239" t="s">
        <v>292</v>
      </c>
      <c r="C122" s="240">
        <v>43209</v>
      </c>
      <c r="D122" s="241" t="s">
        <v>16</v>
      </c>
      <c r="E122" s="242">
        <v>9990.2800000000007</v>
      </c>
      <c r="F122" s="243">
        <f>+E122*2.9558</f>
        <v>29529.269624</v>
      </c>
      <c r="G122" s="485">
        <f t="shared" si="5"/>
        <v>43269</v>
      </c>
      <c r="H122" s="261"/>
      <c r="I122" s="241"/>
      <c r="J122" s="262"/>
      <c r="K122" s="245">
        <v>9990.2800000000007</v>
      </c>
      <c r="L122" s="244"/>
      <c r="M122" s="265">
        <f t="shared" si="4"/>
        <v>0</v>
      </c>
      <c r="N122" s="311"/>
      <c r="O122" s="59"/>
      <c r="Q122" s="534"/>
    </row>
    <row r="123" spans="1:17" s="71" customFormat="1" hidden="1">
      <c r="A123" s="238" t="s">
        <v>270</v>
      </c>
      <c r="B123" s="239" t="s">
        <v>280</v>
      </c>
      <c r="C123" s="240">
        <v>43213</v>
      </c>
      <c r="D123" s="241" t="s">
        <v>16</v>
      </c>
      <c r="E123" s="242">
        <v>70110.52</v>
      </c>
      <c r="F123" s="243">
        <f>+E123*2.95395</f>
        <v>207102.970554</v>
      </c>
      <c r="G123" s="485">
        <f t="shared" si="5"/>
        <v>43273</v>
      </c>
      <c r="H123" s="261"/>
      <c r="I123" s="241"/>
      <c r="J123" s="262"/>
      <c r="K123" s="245">
        <f>12500+12500+12500+12500+12500+7610.52</f>
        <v>70110.52</v>
      </c>
      <c r="L123" s="244"/>
      <c r="M123" s="265">
        <f t="shared" si="4"/>
        <v>0</v>
      </c>
      <c r="N123" s="311"/>
      <c r="O123" s="59"/>
      <c r="Q123" s="534"/>
    </row>
    <row r="124" spans="1:17" s="71" customFormat="1">
      <c r="A124" s="61" t="s">
        <v>20</v>
      </c>
      <c r="B124" s="62" t="s">
        <v>297</v>
      </c>
      <c r="C124" s="63">
        <v>43236</v>
      </c>
      <c r="D124" s="67" t="s">
        <v>16</v>
      </c>
      <c r="E124" s="64">
        <v>92220.66</v>
      </c>
      <c r="F124" s="65">
        <f>E124*2.97195</f>
        <v>274075.19048700004</v>
      </c>
      <c r="G124" s="66">
        <f t="shared" si="5"/>
        <v>43296</v>
      </c>
      <c r="H124" s="236"/>
      <c r="I124" s="67"/>
      <c r="J124" s="235"/>
      <c r="K124" s="69"/>
      <c r="L124" s="68"/>
      <c r="M124" s="292">
        <f t="shared" si="4"/>
        <v>92220.66</v>
      </c>
      <c r="N124" s="311"/>
      <c r="O124" s="59"/>
      <c r="Q124" s="534"/>
    </row>
    <row r="125" spans="1:17" s="71" customFormat="1">
      <c r="A125" s="61" t="s">
        <v>270</v>
      </c>
      <c r="B125" s="62" t="s">
        <v>296</v>
      </c>
      <c r="C125" s="63">
        <v>43235</v>
      </c>
      <c r="D125" s="67" t="s">
        <v>16</v>
      </c>
      <c r="E125" s="64">
        <v>59539.5</v>
      </c>
      <c r="F125" s="65">
        <f>+E125*2.97945</f>
        <v>177394.96327499999</v>
      </c>
      <c r="G125" s="66">
        <f t="shared" si="5"/>
        <v>43295</v>
      </c>
      <c r="H125" s="236"/>
      <c r="I125" s="67"/>
      <c r="J125" s="235"/>
      <c r="K125" s="69">
        <f>12500+12500</f>
        <v>25000</v>
      </c>
      <c r="L125" s="68"/>
      <c r="M125" s="292">
        <f t="shared" si="4"/>
        <v>34539.5</v>
      </c>
      <c r="N125" s="311"/>
      <c r="O125" s="59"/>
      <c r="Q125" s="534"/>
    </row>
    <row r="126" spans="1:17" s="71" customFormat="1">
      <c r="A126" s="61" t="s">
        <v>270</v>
      </c>
      <c r="B126" s="62" t="s">
        <v>298</v>
      </c>
      <c r="C126" s="63">
        <v>43243</v>
      </c>
      <c r="D126" s="67" t="s">
        <v>16</v>
      </c>
      <c r="E126" s="64">
        <v>64244.86</v>
      </c>
      <c r="F126" s="65">
        <f>+E126*2.97525</f>
        <v>191144.519715</v>
      </c>
      <c r="G126" s="66">
        <f t="shared" si="5"/>
        <v>43303</v>
      </c>
      <c r="H126" s="236"/>
      <c r="I126" s="67"/>
      <c r="J126" s="235"/>
      <c r="K126" s="69"/>
      <c r="L126" s="68"/>
      <c r="M126" s="292">
        <f t="shared" si="4"/>
        <v>64244.86</v>
      </c>
      <c r="N126" s="311"/>
      <c r="O126" s="59"/>
      <c r="Q126" s="534"/>
    </row>
    <row r="127" spans="1:17" s="71" customFormat="1">
      <c r="A127" s="61" t="s">
        <v>20</v>
      </c>
      <c r="B127" s="62" t="s">
        <v>304</v>
      </c>
      <c r="C127" s="63">
        <v>43251</v>
      </c>
      <c r="D127" s="67" t="s">
        <v>16</v>
      </c>
      <c r="E127" s="64">
        <v>96319.08</v>
      </c>
      <c r="F127" s="65">
        <f>+E127*2.99085</f>
        <v>288075.92041800002</v>
      </c>
      <c r="G127" s="66">
        <f t="shared" si="5"/>
        <v>43311</v>
      </c>
      <c r="H127" s="236"/>
      <c r="I127" s="67"/>
      <c r="J127" s="235"/>
      <c r="K127" s="69"/>
      <c r="L127" s="68"/>
      <c r="M127" s="292">
        <f t="shared" si="4"/>
        <v>96319.08</v>
      </c>
      <c r="N127" s="311"/>
      <c r="O127" s="59"/>
      <c r="Q127" s="534"/>
    </row>
    <row r="128" spans="1:17" s="71" customFormat="1">
      <c r="A128" s="61" t="s">
        <v>270</v>
      </c>
      <c r="B128" s="62" t="s">
        <v>306</v>
      </c>
      <c r="C128" s="63">
        <v>43262</v>
      </c>
      <c r="D128" s="67" t="s">
        <v>16</v>
      </c>
      <c r="E128" s="64">
        <v>62886.3</v>
      </c>
      <c r="F128" s="65">
        <f>+E128*3.01205</f>
        <v>189416.67991500002</v>
      </c>
      <c r="G128" s="66">
        <f t="shared" si="5"/>
        <v>43322</v>
      </c>
      <c r="H128" s="236"/>
      <c r="I128" s="67"/>
      <c r="J128" s="235"/>
      <c r="K128" s="69"/>
      <c r="L128" s="68"/>
      <c r="M128" s="292">
        <f t="shared" si="4"/>
        <v>62886.3</v>
      </c>
      <c r="N128" s="311"/>
      <c r="O128" s="59"/>
      <c r="Q128" s="534"/>
    </row>
    <row r="129" spans="1:17" s="71" customFormat="1">
      <c r="A129" s="61" t="s">
        <v>20</v>
      </c>
      <c r="B129" s="62" t="s">
        <v>305</v>
      </c>
      <c r="C129" s="63">
        <v>43262</v>
      </c>
      <c r="D129" s="67" t="s">
        <v>16</v>
      </c>
      <c r="E129" s="64">
        <v>89476.73</v>
      </c>
      <c r="F129" s="65">
        <f>+E129*3.0199</f>
        <v>270210.77692699997</v>
      </c>
      <c r="G129" s="66">
        <f t="shared" si="5"/>
        <v>43322</v>
      </c>
      <c r="H129" s="236"/>
      <c r="I129" s="67"/>
      <c r="J129" s="235"/>
      <c r="K129" s="69"/>
      <c r="L129" s="68"/>
      <c r="M129" s="292">
        <f t="shared" si="4"/>
        <v>89476.73</v>
      </c>
      <c r="N129" s="311"/>
      <c r="O129" s="59"/>
      <c r="Q129" s="534"/>
    </row>
    <row r="130" spans="1:17" s="71" customFormat="1">
      <c r="A130" s="61" t="s">
        <v>20</v>
      </c>
      <c r="B130" s="62" t="s">
        <v>308</v>
      </c>
      <c r="C130" s="63">
        <v>43291</v>
      </c>
      <c r="D130" s="67" t="s">
        <v>16</v>
      </c>
      <c r="E130" s="64">
        <v>92676.52</v>
      </c>
      <c r="F130" s="65">
        <f>+E130*3.0721</f>
        <v>284711.53709200001</v>
      </c>
      <c r="G130" s="66">
        <f t="shared" si="5"/>
        <v>43351</v>
      </c>
      <c r="H130" s="236"/>
      <c r="I130" s="67"/>
      <c r="J130" s="235"/>
      <c r="K130" s="69"/>
      <c r="L130" s="68"/>
      <c r="M130" s="292">
        <f t="shared" si="4"/>
        <v>92676.52</v>
      </c>
      <c r="N130" s="311"/>
      <c r="O130" s="59"/>
      <c r="Q130" s="534"/>
    </row>
    <row r="131" spans="1:17" s="71" customFormat="1">
      <c r="A131" s="61" t="s">
        <v>270</v>
      </c>
      <c r="B131" s="62" t="s">
        <v>309</v>
      </c>
      <c r="C131" s="63">
        <v>43291</v>
      </c>
      <c r="D131" s="67" t="s">
        <v>16</v>
      </c>
      <c r="E131" s="64">
        <v>70446.11</v>
      </c>
      <c r="F131" s="65">
        <f>+E131*3.0721</f>
        <v>216417.494531</v>
      </c>
      <c r="G131" s="66">
        <f t="shared" si="5"/>
        <v>43351</v>
      </c>
      <c r="H131" s="236"/>
      <c r="I131" s="67"/>
      <c r="J131" s="235"/>
      <c r="K131" s="69"/>
      <c r="L131" s="68"/>
      <c r="M131" s="292">
        <f t="shared" si="4"/>
        <v>70446.11</v>
      </c>
      <c r="N131" s="311"/>
      <c r="O131" s="59"/>
      <c r="Q131" s="534"/>
    </row>
    <row r="132" spans="1:17" s="71" customFormat="1">
      <c r="A132" s="61" t="s">
        <v>20</v>
      </c>
      <c r="B132" s="62" t="s">
        <v>316</v>
      </c>
      <c r="C132" s="63">
        <v>43325</v>
      </c>
      <c r="D132" s="67" t="s">
        <v>16</v>
      </c>
      <c r="E132" s="64">
        <v>91649.06</v>
      </c>
      <c r="F132" s="65">
        <f>+E132*3.1493</f>
        <v>288630.38465800002</v>
      </c>
      <c r="G132" s="66">
        <f t="shared" si="5"/>
        <v>43385</v>
      </c>
      <c r="H132" s="236"/>
      <c r="I132" s="67"/>
      <c r="J132" s="235"/>
      <c r="K132" s="69"/>
      <c r="L132" s="68"/>
      <c r="M132" s="292">
        <f t="shared" si="4"/>
        <v>91649.06</v>
      </c>
      <c r="N132" s="311"/>
      <c r="O132" s="59"/>
      <c r="Q132" s="534"/>
    </row>
    <row r="133" spans="1:17" s="71" customFormat="1">
      <c r="A133" s="61" t="s">
        <v>270</v>
      </c>
      <c r="B133" s="62" t="s">
        <v>2448</v>
      </c>
      <c r="C133" s="63">
        <v>43339</v>
      </c>
      <c r="D133" s="67" t="s">
        <v>16</v>
      </c>
      <c r="E133" s="64">
        <v>69666.17</v>
      </c>
      <c r="F133" s="65">
        <f>+E133*3.19445</f>
        <v>222545.09675649999</v>
      </c>
      <c r="G133" s="66">
        <f t="shared" si="5"/>
        <v>43399</v>
      </c>
      <c r="H133" s="236"/>
      <c r="I133" s="67"/>
      <c r="J133" s="235"/>
      <c r="K133" s="69"/>
      <c r="L133" s="68"/>
      <c r="M133" s="292">
        <f t="shared" si="4"/>
        <v>69666.17</v>
      </c>
      <c r="N133" s="311"/>
      <c r="O133" s="59"/>
      <c r="Q133" s="534"/>
    </row>
    <row r="134" spans="1:17" s="71" customFormat="1" ht="13.5" thickBot="1">
      <c r="A134" s="72"/>
      <c r="B134" s="73"/>
      <c r="C134" s="74"/>
      <c r="D134" s="74"/>
      <c r="E134" s="75"/>
      <c r="F134" s="76"/>
      <c r="G134" s="77"/>
      <c r="H134" s="78"/>
      <c r="I134" s="74"/>
      <c r="J134" s="79"/>
      <c r="K134" s="80"/>
      <c r="L134" s="79"/>
      <c r="M134" s="309"/>
      <c r="N134" s="311"/>
      <c r="O134" s="59"/>
      <c r="Q134" s="534"/>
    </row>
    <row r="135" spans="1:17" ht="13.5" thickBot="1">
      <c r="G135" s="284"/>
    </row>
    <row r="136" spans="1:17" ht="13.5" thickBot="1">
      <c r="A136" s="897" t="s">
        <v>0</v>
      </c>
      <c r="B136" s="895" t="s">
        <v>1</v>
      </c>
      <c r="C136" s="895"/>
      <c r="D136" s="895"/>
      <c r="E136" s="895"/>
      <c r="F136" s="895"/>
      <c r="G136" s="895"/>
      <c r="H136" s="896" t="s">
        <v>2</v>
      </c>
      <c r="I136" s="896"/>
      <c r="J136" s="896"/>
      <c r="K136" s="896" t="s">
        <v>3</v>
      </c>
      <c r="L136" s="896"/>
      <c r="M136" s="897" t="s">
        <v>4</v>
      </c>
    </row>
    <row r="137" spans="1:17" ht="13.5" thickBot="1">
      <c r="A137" s="897"/>
      <c r="B137" s="554" t="s">
        <v>5</v>
      </c>
      <c r="C137" s="554" t="s">
        <v>6</v>
      </c>
      <c r="D137" s="554" t="s">
        <v>7</v>
      </c>
      <c r="E137" s="29" t="s">
        <v>8</v>
      </c>
      <c r="F137" s="28" t="s">
        <v>9</v>
      </c>
      <c r="G137" s="555" t="s">
        <v>10</v>
      </c>
      <c r="H137" s="28" t="s">
        <v>11</v>
      </c>
      <c r="I137" s="554" t="s">
        <v>12</v>
      </c>
      <c r="J137" s="555" t="s">
        <v>13</v>
      </c>
      <c r="K137" s="29" t="s">
        <v>11</v>
      </c>
      <c r="L137" s="555" t="s">
        <v>14</v>
      </c>
      <c r="M137" s="897"/>
    </row>
    <row r="138" spans="1:17" s="26" customFormat="1" hidden="1">
      <c r="A138" s="334" t="s">
        <v>197</v>
      </c>
      <c r="B138" s="335" t="s">
        <v>198</v>
      </c>
      <c r="C138" s="336">
        <v>42922</v>
      </c>
      <c r="D138" s="279" t="s">
        <v>16</v>
      </c>
      <c r="E138" s="337">
        <v>16500</v>
      </c>
      <c r="F138" s="338">
        <f>+E138*2.75975</f>
        <v>45535.875</v>
      </c>
      <c r="G138" s="280">
        <f t="shared" ref="G138:G156" si="6">+C138+60</f>
        <v>42982</v>
      </c>
      <c r="H138" s="278"/>
      <c r="I138" s="336"/>
      <c r="J138" s="280"/>
      <c r="K138" s="340">
        <v>16448</v>
      </c>
      <c r="L138" s="313"/>
      <c r="M138" s="341">
        <f>E138-K138</f>
        <v>52</v>
      </c>
      <c r="N138" s="329"/>
      <c r="O138" s="449"/>
      <c r="Q138" s="329"/>
    </row>
    <row r="139" spans="1:17" s="26" customFormat="1" hidden="1">
      <c r="A139" s="334" t="s">
        <v>197</v>
      </c>
      <c r="B139" s="335" t="s">
        <v>199</v>
      </c>
      <c r="C139" s="336">
        <v>42929</v>
      </c>
      <c r="D139" s="279" t="s">
        <v>16</v>
      </c>
      <c r="E139" s="337">
        <v>6020</v>
      </c>
      <c r="F139" s="338">
        <f>+E139*2.77865</f>
        <v>16727.472999999998</v>
      </c>
      <c r="G139" s="280">
        <f t="shared" si="6"/>
        <v>42989</v>
      </c>
      <c r="H139" s="278"/>
      <c r="I139" s="336"/>
      <c r="J139" s="280"/>
      <c r="K139" s="340">
        <v>6000</v>
      </c>
      <c r="L139" s="313"/>
      <c r="M139" s="341">
        <f t="shared" ref="M139:M156" si="7">E139-K139</f>
        <v>20</v>
      </c>
      <c r="N139" s="329"/>
      <c r="O139" s="370"/>
      <c r="Q139" s="329"/>
    </row>
    <row r="140" spans="1:17" s="26" customFormat="1" hidden="1">
      <c r="A140" s="334" t="s">
        <v>197</v>
      </c>
      <c r="B140" s="335" t="s">
        <v>200</v>
      </c>
      <c r="C140" s="336">
        <v>42936</v>
      </c>
      <c r="D140" s="279" t="s">
        <v>16</v>
      </c>
      <c r="E140" s="337">
        <v>16500</v>
      </c>
      <c r="F140" s="338">
        <f>+E140*2.78795</f>
        <v>46001.174999999996</v>
      </c>
      <c r="G140" s="280">
        <f t="shared" si="6"/>
        <v>42996</v>
      </c>
      <c r="H140" s="278"/>
      <c r="I140" s="336"/>
      <c r="J140" s="280"/>
      <c r="K140" s="340">
        <f>6500+10000</f>
        <v>16500</v>
      </c>
      <c r="L140" s="313"/>
      <c r="M140" s="341">
        <f t="shared" si="7"/>
        <v>0</v>
      </c>
      <c r="N140" s="329"/>
      <c r="O140" s="370"/>
      <c r="Q140" s="329"/>
    </row>
    <row r="141" spans="1:17" s="26" customFormat="1" hidden="1">
      <c r="A141" s="334" t="s">
        <v>197</v>
      </c>
      <c r="B141" s="335" t="s">
        <v>201</v>
      </c>
      <c r="C141" s="336">
        <v>42951</v>
      </c>
      <c r="D141" s="279" t="s">
        <v>16</v>
      </c>
      <c r="E141" s="337">
        <v>11215</v>
      </c>
      <c r="F141" s="338">
        <f>+E141*2.81145</f>
        <v>31530.411749999999</v>
      </c>
      <c r="G141" s="280">
        <f t="shared" si="6"/>
        <v>43011</v>
      </c>
      <c r="H141" s="278"/>
      <c r="I141" s="336"/>
      <c r="J141" s="280"/>
      <c r="K141" s="340">
        <v>11215</v>
      </c>
      <c r="L141" s="313"/>
      <c r="M141" s="341">
        <f t="shared" si="7"/>
        <v>0</v>
      </c>
      <c r="N141" s="329"/>
      <c r="O141" s="370"/>
      <c r="Q141" s="329"/>
    </row>
    <row r="142" spans="1:17" s="26" customFormat="1" hidden="1">
      <c r="A142" s="334" t="s">
        <v>197</v>
      </c>
      <c r="B142" s="335" t="s">
        <v>211</v>
      </c>
      <c r="C142" s="336">
        <v>42958</v>
      </c>
      <c r="D142" s="279" t="s">
        <v>16</v>
      </c>
      <c r="E142" s="337">
        <v>8140</v>
      </c>
      <c r="F142" s="338">
        <f>+E142*2.80365</f>
        <v>22821.711000000003</v>
      </c>
      <c r="G142" s="280">
        <f t="shared" si="6"/>
        <v>43018</v>
      </c>
      <c r="H142" s="278"/>
      <c r="I142" s="336"/>
      <c r="J142" s="280"/>
      <c r="K142" s="340">
        <v>8140</v>
      </c>
      <c r="L142" s="313"/>
      <c r="M142" s="341">
        <f t="shared" si="7"/>
        <v>0</v>
      </c>
      <c r="N142" s="329"/>
      <c r="O142" s="370"/>
      <c r="Q142" s="329"/>
    </row>
    <row r="143" spans="1:17" s="26" customFormat="1" hidden="1">
      <c r="A143" s="334" t="s">
        <v>197</v>
      </c>
      <c r="B143" s="335" t="s">
        <v>213</v>
      </c>
      <c r="C143" s="336">
        <v>42965</v>
      </c>
      <c r="D143" s="279" t="s">
        <v>16</v>
      </c>
      <c r="E143" s="337">
        <v>15050</v>
      </c>
      <c r="F143" s="338">
        <f>+E143*2.80865</f>
        <v>42270.182500000003</v>
      </c>
      <c r="G143" s="280">
        <f t="shared" si="6"/>
        <v>43025</v>
      </c>
      <c r="H143" s="278"/>
      <c r="I143" s="336"/>
      <c r="J143" s="280"/>
      <c r="K143" s="340">
        <v>15000</v>
      </c>
      <c r="L143" s="313"/>
      <c r="M143" s="341">
        <f t="shared" si="7"/>
        <v>50</v>
      </c>
      <c r="N143" s="329"/>
      <c r="O143" s="370"/>
      <c r="Q143" s="329"/>
    </row>
    <row r="144" spans="1:17" s="26" customFormat="1">
      <c r="A144" s="371" t="s">
        <v>197</v>
      </c>
      <c r="B144" s="314" t="s">
        <v>215</v>
      </c>
      <c r="C144" s="372">
        <v>42977</v>
      </c>
      <c r="D144" s="373" t="s">
        <v>16</v>
      </c>
      <c r="E144" s="374">
        <v>30250</v>
      </c>
      <c r="F144" s="315">
        <f>+E144*2.889</f>
        <v>87392.25</v>
      </c>
      <c r="G144" s="375">
        <f t="shared" si="6"/>
        <v>43037</v>
      </c>
      <c r="H144" s="376"/>
      <c r="I144" s="372"/>
      <c r="J144" s="375"/>
      <c r="K144" s="377">
        <f>23714.59-15000</f>
        <v>8714.59</v>
      </c>
      <c r="L144" s="378"/>
      <c r="M144" s="379">
        <f t="shared" si="7"/>
        <v>21535.41</v>
      </c>
      <c r="N144" s="329"/>
      <c r="O144" s="370"/>
      <c r="Q144" s="329"/>
    </row>
    <row r="145" spans="1:17" s="26" customFormat="1" hidden="1">
      <c r="A145" s="334" t="s">
        <v>197</v>
      </c>
      <c r="B145" s="335" t="s">
        <v>216</v>
      </c>
      <c r="C145" s="336">
        <v>42985</v>
      </c>
      <c r="D145" s="279" t="s">
        <v>16</v>
      </c>
      <c r="E145" s="337">
        <v>7200</v>
      </c>
      <c r="F145" s="338">
        <f>E145*2.893</f>
        <v>20829.599999999999</v>
      </c>
      <c r="G145" s="280">
        <f t="shared" si="6"/>
        <v>43045</v>
      </c>
      <c r="H145" s="278"/>
      <c r="I145" s="336"/>
      <c r="J145" s="280"/>
      <c r="K145" s="340">
        <v>7200</v>
      </c>
      <c r="L145" s="313"/>
      <c r="M145" s="341">
        <f t="shared" si="7"/>
        <v>0</v>
      </c>
      <c r="N145" s="329"/>
      <c r="O145" s="370"/>
      <c r="Q145" s="329"/>
    </row>
    <row r="146" spans="1:17" s="26" customFormat="1">
      <c r="A146" s="371" t="s">
        <v>197</v>
      </c>
      <c r="B146" s="314" t="s">
        <v>217</v>
      </c>
      <c r="C146" s="372">
        <v>42992</v>
      </c>
      <c r="D146" s="373" t="s">
        <v>16</v>
      </c>
      <c r="E146" s="374">
        <v>34946.269999999997</v>
      </c>
      <c r="F146" s="315">
        <f>+E146*2.899</f>
        <v>101309.23672999999</v>
      </c>
      <c r="G146" s="375">
        <f t="shared" si="6"/>
        <v>43052</v>
      </c>
      <c r="H146" s="376"/>
      <c r="I146" s="372"/>
      <c r="J146" s="375"/>
      <c r="K146" s="377"/>
      <c r="L146" s="378"/>
      <c r="M146" s="379">
        <f t="shared" si="7"/>
        <v>34946.269999999997</v>
      </c>
      <c r="N146" s="329"/>
      <c r="O146" s="370"/>
      <c r="Q146" s="329"/>
    </row>
    <row r="147" spans="1:17" s="26" customFormat="1">
      <c r="A147" s="371" t="s">
        <v>197</v>
      </c>
      <c r="B147" s="314" t="s">
        <v>220</v>
      </c>
      <c r="C147" s="372">
        <v>43006</v>
      </c>
      <c r="D147" s="373" t="s">
        <v>16</v>
      </c>
      <c r="E147" s="374">
        <v>44550</v>
      </c>
      <c r="F147" s="315">
        <f>+E147*2.893</f>
        <v>128883.15</v>
      </c>
      <c r="G147" s="375">
        <f t="shared" si="6"/>
        <v>43066</v>
      </c>
      <c r="H147" s="376"/>
      <c r="I147" s="372"/>
      <c r="J147" s="375"/>
      <c r="K147" s="377"/>
      <c r="L147" s="378"/>
      <c r="M147" s="379">
        <f t="shared" si="7"/>
        <v>44550</v>
      </c>
      <c r="N147" s="329"/>
      <c r="O147" s="370"/>
      <c r="Q147" s="329"/>
    </row>
    <row r="148" spans="1:17" s="26" customFormat="1">
      <c r="A148" s="371" t="s">
        <v>197</v>
      </c>
      <c r="B148" s="314" t="s">
        <v>223</v>
      </c>
      <c r="C148" s="372">
        <v>43019</v>
      </c>
      <c r="D148" s="373" t="s">
        <v>16</v>
      </c>
      <c r="E148" s="374">
        <v>27337.5</v>
      </c>
      <c r="F148" s="315">
        <f>+E148*2.9093</f>
        <v>79532.988750000004</v>
      </c>
      <c r="G148" s="375">
        <f t="shared" si="6"/>
        <v>43079</v>
      </c>
      <c r="H148" s="376"/>
      <c r="I148" s="372"/>
      <c r="J148" s="375"/>
      <c r="K148" s="377"/>
      <c r="L148" s="378"/>
      <c r="M148" s="379">
        <f t="shared" si="7"/>
        <v>27337.5</v>
      </c>
      <c r="N148" s="329"/>
      <c r="O148" s="370"/>
      <c r="Q148" s="329"/>
    </row>
    <row r="149" spans="1:17" s="26" customFormat="1">
      <c r="A149" s="371" t="s">
        <v>197</v>
      </c>
      <c r="B149" s="314" t="s">
        <v>229</v>
      </c>
      <c r="C149" s="372">
        <v>43034</v>
      </c>
      <c r="D149" s="373" t="s">
        <v>16</v>
      </c>
      <c r="E149" s="374">
        <v>15386.35</v>
      </c>
      <c r="F149" s="315">
        <f>+E149*2.9096</f>
        <v>44768.123960000004</v>
      </c>
      <c r="G149" s="375">
        <f t="shared" si="6"/>
        <v>43094</v>
      </c>
      <c r="H149" s="376"/>
      <c r="I149" s="372"/>
      <c r="J149" s="375"/>
      <c r="K149" s="377"/>
      <c r="L149" s="378"/>
      <c r="M149" s="379">
        <f t="shared" si="7"/>
        <v>15386.35</v>
      </c>
      <c r="N149" s="329"/>
      <c r="O149" s="370"/>
      <c r="Q149" s="329"/>
    </row>
    <row r="150" spans="1:17" s="26" customFormat="1" hidden="1">
      <c r="A150" s="334" t="s">
        <v>197</v>
      </c>
      <c r="B150" s="335" t="s">
        <v>237</v>
      </c>
      <c r="C150" s="336">
        <v>43054</v>
      </c>
      <c r="D150" s="279" t="s">
        <v>16</v>
      </c>
      <c r="E150" s="337">
        <v>13053.6</v>
      </c>
      <c r="F150" s="338">
        <f>+E150*2.9226</f>
        <v>38150.451359999999</v>
      </c>
      <c r="G150" s="280">
        <f t="shared" si="6"/>
        <v>43114</v>
      </c>
      <c r="H150" s="278"/>
      <c r="I150" s="336"/>
      <c r="J150" s="280"/>
      <c r="K150" s="340">
        <v>13053.6</v>
      </c>
      <c r="L150" s="313"/>
      <c r="M150" s="341">
        <f t="shared" si="7"/>
        <v>0</v>
      </c>
      <c r="N150" s="329"/>
      <c r="O150" s="370"/>
      <c r="Q150" s="329"/>
    </row>
    <row r="151" spans="1:17" s="44" customFormat="1" hidden="1">
      <c r="A151" s="334" t="s">
        <v>15</v>
      </c>
      <c r="B151" s="335" t="s">
        <v>246</v>
      </c>
      <c r="C151" s="336">
        <v>43075</v>
      </c>
      <c r="D151" s="279" t="s">
        <v>16</v>
      </c>
      <c r="E151" s="337">
        <v>20473.650000000001</v>
      </c>
      <c r="F151" s="338">
        <f>+E151*2.9164</f>
        <v>59709.352859999999</v>
      </c>
      <c r="G151" s="280">
        <f t="shared" si="6"/>
        <v>43135</v>
      </c>
      <c r="H151" s="278"/>
      <c r="I151" s="336"/>
      <c r="J151" s="280"/>
      <c r="K151" s="340">
        <v>20423.650000000001</v>
      </c>
      <c r="L151" s="313"/>
      <c r="M151" s="341">
        <f t="shared" si="7"/>
        <v>50</v>
      </c>
      <c r="N151" s="286"/>
      <c r="O151" s="489"/>
      <c r="Q151" s="286"/>
    </row>
    <row r="152" spans="1:17" s="44" customFormat="1" hidden="1">
      <c r="A152" s="334" t="s">
        <v>197</v>
      </c>
      <c r="B152" s="335" t="s">
        <v>247</v>
      </c>
      <c r="C152" s="336">
        <v>43075</v>
      </c>
      <c r="D152" s="279" t="s">
        <v>16</v>
      </c>
      <c r="E152" s="337">
        <v>21698.71</v>
      </c>
      <c r="F152" s="338">
        <f>+E152*2.9164</f>
        <v>63282.117843999993</v>
      </c>
      <c r="G152" s="280">
        <f t="shared" si="6"/>
        <v>43135</v>
      </c>
      <c r="H152" s="278"/>
      <c r="I152" s="336"/>
      <c r="J152" s="280"/>
      <c r="K152" s="340">
        <v>21642.81</v>
      </c>
      <c r="L152" s="280">
        <v>43098</v>
      </c>
      <c r="M152" s="341">
        <f t="shared" si="7"/>
        <v>55.899999999997817</v>
      </c>
      <c r="N152" s="286"/>
      <c r="O152" s="489"/>
      <c r="Q152" s="286"/>
    </row>
    <row r="153" spans="1:17" s="44" customFormat="1" hidden="1">
      <c r="A153" s="334" t="s">
        <v>197</v>
      </c>
      <c r="B153" s="335" t="s">
        <v>251</v>
      </c>
      <c r="C153" s="336">
        <v>43084</v>
      </c>
      <c r="D153" s="279" t="s">
        <v>16</v>
      </c>
      <c r="E153" s="337">
        <v>10090</v>
      </c>
      <c r="F153" s="338">
        <f>+E153*2.9214</f>
        <v>29476.926000000003</v>
      </c>
      <c r="G153" s="280">
        <f t="shared" si="6"/>
        <v>43144</v>
      </c>
      <c r="H153" s="278"/>
      <c r="I153" s="336"/>
      <c r="J153" s="280"/>
      <c r="K153" s="340">
        <v>10047.5</v>
      </c>
      <c r="L153" s="313"/>
      <c r="M153" s="341">
        <f t="shared" si="7"/>
        <v>42.5</v>
      </c>
      <c r="N153" s="286"/>
      <c r="O153" s="489"/>
      <c r="Q153" s="286"/>
    </row>
    <row r="154" spans="1:17" s="44" customFormat="1" hidden="1">
      <c r="A154" s="334" t="s">
        <v>197</v>
      </c>
      <c r="B154" s="335" t="s">
        <v>253</v>
      </c>
      <c r="C154" s="336">
        <v>43096</v>
      </c>
      <c r="D154" s="279" t="s">
        <v>16</v>
      </c>
      <c r="E154" s="337">
        <v>22074.959999999999</v>
      </c>
      <c r="F154" s="338">
        <f>+E154*2.9288</f>
        <v>64653.142847999996</v>
      </c>
      <c r="G154" s="280">
        <f t="shared" si="6"/>
        <v>43156</v>
      </c>
      <c r="H154" s="278"/>
      <c r="I154" s="336"/>
      <c r="J154" s="280"/>
      <c r="K154" s="340">
        <v>22018.31</v>
      </c>
      <c r="L154" s="313"/>
      <c r="M154" s="341">
        <f t="shared" si="7"/>
        <v>56.649999999997817</v>
      </c>
      <c r="N154" s="286"/>
      <c r="O154" s="489"/>
      <c r="Q154" s="286"/>
    </row>
    <row r="155" spans="1:17" s="44" customFormat="1" hidden="1">
      <c r="A155" s="334" t="s">
        <v>197</v>
      </c>
      <c r="B155" s="335" t="s">
        <v>256</v>
      </c>
      <c r="C155" s="336">
        <v>43111</v>
      </c>
      <c r="D155" s="279" t="s">
        <v>16</v>
      </c>
      <c r="E155" s="337">
        <v>28798.14</v>
      </c>
      <c r="F155" s="338">
        <f>+E155*2.9312</f>
        <v>84413.107967999997</v>
      </c>
      <c r="G155" s="280">
        <f t="shared" si="6"/>
        <v>43171</v>
      </c>
      <c r="H155" s="278"/>
      <c r="I155" s="336"/>
      <c r="J155" s="280"/>
      <c r="K155" s="340">
        <v>28773.14</v>
      </c>
      <c r="L155" s="313"/>
      <c r="M155" s="341">
        <f t="shared" si="7"/>
        <v>25</v>
      </c>
      <c r="N155" s="286"/>
      <c r="O155" s="489"/>
      <c r="Q155" s="286"/>
    </row>
    <row r="156" spans="1:17" s="44" customFormat="1" hidden="1">
      <c r="A156" s="334" t="s">
        <v>257</v>
      </c>
      <c r="B156" s="335" t="s">
        <v>258</v>
      </c>
      <c r="C156" s="336">
        <v>43124</v>
      </c>
      <c r="D156" s="279" t="s">
        <v>16</v>
      </c>
      <c r="E156" s="337">
        <v>30983.22</v>
      </c>
      <c r="F156" s="338">
        <f>+E156*2.9437</f>
        <v>91205.304714000013</v>
      </c>
      <c r="G156" s="280">
        <f t="shared" si="6"/>
        <v>43184</v>
      </c>
      <c r="H156" s="278"/>
      <c r="I156" s="336"/>
      <c r="J156" s="280"/>
      <c r="K156" s="340">
        <v>30983.22</v>
      </c>
      <c r="L156" s="313"/>
      <c r="M156" s="341">
        <f t="shared" si="7"/>
        <v>0</v>
      </c>
      <c r="N156" s="286"/>
      <c r="O156" s="489"/>
      <c r="Q156" s="286"/>
    </row>
    <row r="157" spans="1:17" ht="13.5" thickBot="1">
      <c r="A157" s="9"/>
      <c r="B157" s="10"/>
      <c r="C157" s="11"/>
      <c r="D157" s="12"/>
      <c r="E157" s="13"/>
      <c r="F157" s="14"/>
      <c r="G157" s="15"/>
      <c r="H157" s="16"/>
      <c r="I157" s="11"/>
      <c r="J157" s="15"/>
      <c r="K157" s="17"/>
      <c r="L157" s="18"/>
      <c r="M157" s="19"/>
    </row>
    <row r="158" spans="1:17" ht="13.5" thickBot="1">
      <c r="G158" s="283"/>
    </row>
    <row r="159" spans="1:17" ht="13.5" thickBot="1">
      <c r="B159" s="257" t="s">
        <v>47</v>
      </c>
      <c r="C159" s="369" t="s">
        <v>48</v>
      </c>
      <c r="D159" s="887" t="s">
        <v>9</v>
      </c>
      <c r="E159" s="888"/>
    </row>
    <row r="160" spans="1:17">
      <c r="A160" s="250" t="s">
        <v>20</v>
      </c>
      <c r="B160" s="255"/>
      <c r="C160" s="256"/>
      <c r="D160" s="891"/>
      <c r="E160" s="892"/>
    </row>
    <row r="161" spans="1:5">
      <c r="A161" s="251">
        <v>2017</v>
      </c>
      <c r="B161" s="246">
        <f>M113+M114+M115</f>
        <v>158025.76</v>
      </c>
      <c r="C161" s="247"/>
      <c r="D161" s="881"/>
      <c r="E161" s="882"/>
    </row>
    <row r="162" spans="1:5">
      <c r="A162" s="252">
        <v>2018</v>
      </c>
      <c r="B162" s="246">
        <f>M116+M117+M121+M124+M127+M129+M130+M132</f>
        <v>743163.78</v>
      </c>
      <c r="C162" s="247"/>
      <c r="D162" s="889">
        <v>0</v>
      </c>
      <c r="E162" s="890"/>
    </row>
    <row r="163" spans="1:5">
      <c r="A163" s="8" t="s">
        <v>15</v>
      </c>
      <c r="B163" s="246">
        <f>M97+M112</f>
        <v>67627.22</v>
      </c>
      <c r="C163" s="248">
        <v>0</v>
      </c>
      <c r="D163" s="881"/>
      <c r="E163" s="882"/>
    </row>
    <row r="164" spans="1:5">
      <c r="A164" s="8" t="s">
        <v>17</v>
      </c>
      <c r="B164" s="246">
        <f>+M35</f>
        <v>5190.95</v>
      </c>
      <c r="C164" s="249">
        <f>+M30</f>
        <v>1211.8600000000006</v>
      </c>
      <c r="D164" s="881"/>
      <c r="E164" s="882"/>
    </row>
    <row r="165" spans="1:5">
      <c r="A165" s="330" t="s">
        <v>257</v>
      </c>
      <c r="B165" s="332">
        <f>M118</f>
        <v>3120.6399999999994</v>
      </c>
      <c r="C165" s="331"/>
      <c r="D165" s="881"/>
      <c r="E165" s="882"/>
    </row>
    <row r="166" spans="1:5">
      <c r="A166" s="330" t="s">
        <v>273</v>
      </c>
      <c r="B166" s="332">
        <f>M125+M126+M128+M131+M133</f>
        <v>301782.94</v>
      </c>
      <c r="C166" s="331"/>
      <c r="D166" s="881"/>
      <c r="E166" s="882"/>
    </row>
    <row r="167" spans="1:5">
      <c r="A167" s="330" t="s">
        <v>190</v>
      </c>
      <c r="B167" s="332">
        <f>M144+M145+M146+M147+M148+M149</f>
        <v>143755.53</v>
      </c>
      <c r="C167" s="331"/>
      <c r="D167" s="881"/>
      <c r="E167" s="882"/>
    </row>
    <row r="168" spans="1:5" ht="13.5" thickBot="1">
      <c r="A168" s="9" t="s">
        <v>151</v>
      </c>
      <c r="B168" s="10"/>
      <c r="C168" s="13">
        <f>+M84</f>
        <v>60082</v>
      </c>
      <c r="D168" s="883"/>
      <c r="E168" s="884"/>
    </row>
    <row r="169" spans="1:5" ht="13.5" thickBot="1">
      <c r="B169" s="253">
        <f>SUM(B160:B168)</f>
        <v>1422666.82</v>
      </c>
      <c r="C169" s="254">
        <f>SUM(C160:C168)</f>
        <v>61293.86</v>
      </c>
      <c r="D169" s="885">
        <f>SUM(D160:D168)</f>
        <v>0</v>
      </c>
      <c r="E169" s="886"/>
    </row>
    <row r="171" spans="1:5">
      <c r="B171" s="3"/>
      <c r="C171" s="3"/>
    </row>
    <row r="172" spans="1:5">
      <c r="B172" s="2"/>
    </row>
    <row r="177" spans="13:13">
      <c r="M177" s="450"/>
    </row>
  </sheetData>
  <autoFilter ref="A1:A169"/>
  <mergeCells count="26">
    <mergeCell ref="A136:A137"/>
    <mergeCell ref="B136:G136"/>
    <mergeCell ref="H136:J136"/>
    <mergeCell ref="K136:L136"/>
    <mergeCell ref="M136:M137"/>
    <mergeCell ref="A2:A3"/>
    <mergeCell ref="B2:G2"/>
    <mergeCell ref="H2:J2"/>
    <mergeCell ref="K2:L2"/>
    <mergeCell ref="M2:M3"/>
    <mergeCell ref="A33:A34"/>
    <mergeCell ref="B33:G33"/>
    <mergeCell ref="H33:J33"/>
    <mergeCell ref="K33:L33"/>
    <mergeCell ref="M33:M34"/>
    <mergeCell ref="D164:E164"/>
    <mergeCell ref="D168:E168"/>
    <mergeCell ref="D169:E169"/>
    <mergeCell ref="D159:E159"/>
    <mergeCell ref="D162:E162"/>
    <mergeCell ref="D160:E160"/>
    <mergeCell ref="D161:E161"/>
    <mergeCell ref="D163:E163"/>
    <mergeCell ref="D167:E167"/>
    <mergeCell ref="D165:E165"/>
    <mergeCell ref="D166:E166"/>
  </mergeCells>
  <pageMargins left="0.70866141732283472" right="0.70866141732283472" top="0.74803149606299213" bottom="0.74803149606299213" header="0.31496062992125984" footer="0.31496062992125984"/>
  <pageSetup paperSize="9" scale="90" orientation="landscape" horizontalDpi="180" verticalDpi="180" r:id="rId1"/>
  <ignoredErrors>
    <ignoredError sqref="F44 G48 G73 G76:G78 G80 G87 G90:G92 G19 F27:G27 G29 M119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3:L26"/>
  <sheetViews>
    <sheetView workbookViewId="0">
      <selection activeCell="E29" sqref="E29"/>
    </sheetView>
  </sheetViews>
  <sheetFormatPr baseColWidth="10" defaultRowHeight="15"/>
  <cols>
    <col min="1" max="1" width="10.5703125" bestFit="1" customWidth="1"/>
    <col min="2" max="2" width="12.5703125" bestFit="1" customWidth="1"/>
    <col min="3" max="3" width="17.85546875" bestFit="1" customWidth="1"/>
    <col min="4" max="4" width="11.5703125" bestFit="1" customWidth="1"/>
    <col min="5" max="5" width="17.42578125" bestFit="1" customWidth="1"/>
    <col min="6" max="7" width="10.7109375" bestFit="1" customWidth="1"/>
    <col min="8" max="8" width="43.28515625" bestFit="1" customWidth="1"/>
  </cols>
  <sheetData>
    <row r="3" spans="1:9" ht="18.75">
      <c r="A3" s="898" t="s">
        <v>120</v>
      </c>
      <c r="B3" s="898"/>
      <c r="C3" s="898"/>
      <c r="D3" s="898"/>
      <c r="E3" s="898"/>
      <c r="F3" s="898"/>
      <c r="G3" s="898"/>
      <c r="H3" s="898"/>
    </row>
    <row r="4" spans="1:9" ht="15.75">
      <c r="A4" s="899" t="s">
        <v>170</v>
      </c>
      <c r="B4" s="899"/>
      <c r="C4" s="899"/>
      <c r="D4" s="899"/>
      <c r="E4" s="899"/>
      <c r="F4" s="899"/>
      <c r="G4" s="899"/>
      <c r="H4" s="899"/>
    </row>
    <row r="5" spans="1:9" ht="15.75" thickBot="1"/>
    <row r="6" spans="1:9" ht="15.75" thickBot="1">
      <c r="B6" s="121" t="s">
        <v>119</v>
      </c>
      <c r="C6" s="120" t="s">
        <v>118</v>
      </c>
      <c r="D6" s="119" t="s">
        <v>117</v>
      </c>
      <c r="E6" s="118" t="s">
        <v>116</v>
      </c>
      <c r="F6" s="117" t="s">
        <v>115</v>
      </c>
      <c r="G6" s="117" t="s">
        <v>10</v>
      </c>
      <c r="H6" s="116" t="s">
        <v>114</v>
      </c>
    </row>
    <row r="7" spans="1:9" s="106" customFormat="1" ht="15.75" thickBot="1">
      <c r="A7" s="389" t="s">
        <v>113</v>
      </c>
      <c r="B7" s="390"/>
      <c r="C7" s="391"/>
      <c r="D7" s="392"/>
      <c r="E7" s="393"/>
      <c r="F7" s="394"/>
      <c r="G7" s="395"/>
      <c r="H7" s="396"/>
    </row>
    <row r="8" spans="1:9" ht="15.75" thickBot="1">
      <c r="A8" s="900" t="s">
        <v>107</v>
      </c>
      <c r="B8" s="901"/>
      <c r="C8" s="901"/>
      <c r="D8" s="902"/>
      <c r="E8" s="115">
        <f>SUM(E7)</f>
        <v>0</v>
      </c>
      <c r="G8" s="101"/>
    </row>
    <row r="9" spans="1:9" ht="15.75" thickBot="1">
      <c r="C9" s="104"/>
    </row>
    <row r="10" spans="1:9" s="106" customFormat="1" ht="15.75" thickBot="1">
      <c r="A10" s="122" t="s">
        <v>45</v>
      </c>
      <c r="B10" s="114"/>
      <c r="C10" s="113"/>
      <c r="D10" s="112"/>
      <c r="E10" s="111"/>
      <c r="F10" s="110"/>
      <c r="G10" s="109"/>
      <c r="H10" s="108"/>
      <c r="I10" s="107"/>
    </row>
    <row r="11" spans="1:9" ht="15.75" thickBot="1">
      <c r="A11" s="900" t="s">
        <v>107</v>
      </c>
      <c r="B11" s="901"/>
      <c r="C11" s="901"/>
      <c r="D11" s="902"/>
      <c r="E11" s="105">
        <f>SUM(E10:E10)</f>
        <v>0</v>
      </c>
      <c r="G11" s="101"/>
    </row>
    <row r="12" spans="1:9">
      <c r="G12" s="101"/>
    </row>
    <row r="13" spans="1:9">
      <c r="B13" s="104"/>
      <c r="C13" s="104"/>
      <c r="E13" s="102"/>
      <c r="F13" s="101"/>
      <c r="G13" s="101"/>
    </row>
    <row r="14" spans="1:9">
      <c r="C14" s="102"/>
      <c r="D14" s="46"/>
      <c r="F14" s="101"/>
      <c r="G14" s="325"/>
    </row>
    <row r="15" spans="1:9">
      <c r="B15" s="102"/>
      <c r="C15" s="102"/>
      <c r="D15" s="46"/>
      <c r="E15" s="46"/>
      <c r="F15" s="101"/>
      <c r="G15" s="101"/>
    </row>
    <row r="16" spans="1:9">
      <c r="C16" s="102"/>
      <c r="F16" s="287"/>
      <c r="G16" s="103"/>
      <c r="H16" s="103"/>
    </row>
    <row r="17" spans="1:12">
      <c r="C17" s="46"/>
      <c r="E17" s="103"/>
      <c r="F17" s="287"/>
      <c r="G17" s="103"/>
      <c r="H17" s="103"/>
    </row>
    <row r="18" spans="1:12">
      <c r="C18" s="102"/>
      <c r="F18" s="101"/>
    </row>
    <row r="19" spans="1:12">
      <c r="A19" s="102"/>
      <c r="C19" s="266"/>
    </row>
    <row r="20" spans="1:12">
      <c r="C20" s="266"/>
      <c r="L20" s="101"/>
    </row>
    <row r="21" spans="1:12">
      <c r="C21" s="281"/>
      <c r="F21" s="101"/>
      <c r="L21" s="101"/>
    </row>
    <row r="22" spans="1:12">
      <c r="C22" s="102"/>
      <c r="F22" s="101"/>
    </row>
    <row r="23" spans="1:12">
      <c r="C23" s="46"/>
      <c r="D23" s="269"/>
      <c r="F23" s="101"/>
    </row>
    <row r="24" spans="1:12">
      <c r="F24" s="101"/>
    </row>
    <row r="25" spans="1:12">
      <c r="F25" s="101"/>
    </row>
    <row r="26" spans="1:12">
      <c r="C26" s="46"/>
      <c r="F26" s="101"/>
    </row>
  </sheetData>
  <mergeCells count="4">
    <mergeCell ref="A3:H3"/>
    <mergeCell ref="A4:H4"/>
    <mergeCell ref="A8:D8"/>
    <mergeCell ref="A11:D11"/>
  </mergeCells>
  <pageMargins left="0.70866141732283472" right="0.70866141732283472" top="0.74803149606299213" bottom="0.74803149606299213" header="0.31496062992125984" footer="0.31496062992125984"/>
  <pageSetup paperSize="9" scale="99" orientation="landscape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79"/>
  <sheetViews>
    <sheetView topLeftCell="A22" workbookViewId="0">
      <selection activeCell="K63" sqref="K63"/>
    </sheetView>
  </sheetViews>
  <sheetFormatPr baseColWidth="10" defaultRowHeight="12.75"/>
  <cols>
    <col min="1" max="1" width="10.140625" style="1" bestFit="1" customWidth="1"/>
    <col min="2" max="2" width="17" style="1" bestFit="1" customWidth="1"/>
    <col min="3" max="3" width="3.5703125" style="1" bestFit="1" customWidth="1"/>
    <col min="4" max="4" width="10.140625" style="1" bestFit="1" customWidth="1"/>
    <col min="5" max="5" width="11" style="1" bestFit="1" customWidth="1"/>
    <col min="6" max="6" width="12.28515625" style="1" bestFit="1" customWidth="1"/>
    <col min="7" max="7" width="10.85546875" style="1" bestFit="1" customWidth="1"/>
    <col min="8" max="8" width="12.28515625" style="1" bestFit="1" customWidth="1"/>
    <col min="9" max="10" width="11.42578125" style="1"/>
    <col min="11" max="11" width="17" style="1" bestFit="1" customWidth="1"/>
    <col min="12" max="16384" width="11.42578125" style="1"/>
  </cols>
  <sheetData>
    <row r="1" spans="1:16">
      <c r="A1" s="916" t="s">
        <v>2451</v>
      </c>
      <c r="B1" s="916"/>
      <c r="C1" s="916"/>
      <c r="D1" s="916"/>
      <c r="E1" s="916"/>
      <c r="F1" s="916"/>
      <c r="G1" s="916"/>
      <c r="H1" s="916"/>
    </row>
    <row r="2" spans="1:16" ht="13.5" thickBot="1">
      <c r="A2" s="402"/>
      <c r="B2" s="26"/>
      <c r="C2" s="680"/>
      <c r="D2" s="329"/>
      <c r="E2" s="401"/>
      <c r="F2" s="401"/>
      <c r="G2" s="401"/>
      <c r="H2" s="401"/>
    </row>
    <row r="3" spans="1:16">
      <c r="A3" s="917" t="s">
        <v>282</v>
      </c>
      <c r="B3" s="918"/>
      <c r="C3" s="541" t="s">
        <v>182</v>
      </c>
      <c r="D3" s="919">
        <f>291280+D14+D15</f>
        <v>356940</v>
      </c>
      <c r="E3" s="920"/>
      <c r="F3" s="542">
        <f>417856+F14+F15</f>
        <v>513063</v>
      </c>
      <c r="G3" s="542">
        <f>79392.64+G14+G15</f>
        <v>97481.97</v>
      </c>
      <c r="H3" s="543">
        <f>497248.64+H14+H15</f>
        <v>610544.97000000009</v>
      </c>
    </row>
    <row r="4" spans="1:16">
      <c r="A4" s="903" t="s">
        <v>283</v>
      </c>
      <c r="B4" s="904"/>
      <c r="C4" s="544" t="s">
        <v>182</v>
      </c>
      <c r="D4" s="905">
        <f>442120+D16+D17</f>
        <v>522380</v>
      </c>
      <c r="E4" s="906"/>
      <c r="F4" s="545">
        <f>727706+F16+F17</f>
        <v>864148</v>
      </c>
      <c r="G4" s="545">
        <f>138264.14+G16+G17</f>
        <v>164188.12</v>
      </c>
      <c r="H4" s="546">
        <f>865971.34+H16+H17</f>
        <v>1028337.3200000001</v>
      </c>
    </row>
    <row r="5" spans="1:16">
      <c r="A5" s="903" t="s">
        <v>284</v>
      </c>
      <c r="B5" s="904"/>
      <c r="C5" s="544" t="s">
        <v>182</v>
      </c>
      <c r="D5" s="905">
        <f>13829+D18+D19+D20+D21</f>
        <v>23997</v>
      </c>
      <c r="E5" s="906"/>
      <c r="F5" s="545">
        <f>456357+F18+F19+F20+F21</f>
        <v>787681.5</v>
      </c>
      <c r="G5" s="545">
        <f>86707.83+G18+G19+G20+G21</f>
        <v>149659.48500000002</v>
      </c>
      <c r="H5" s="546">
        <f>543064.83+H18+H19+H20+H21</f>
        <v>937340.98499999987</v>
      </c>
    </row>
    <row r="6" spans="1:16">
      <c r="A6" s="921" t="s">
        <v>307</v>
      </c>
      <c r="B6" s="922"/>
      <c r="C6" s="544" t="s">
        <v>182</v>
      </c>
      <c r="D6" s="905">
        <v>1109</v>
      </c>
      <c r="E6" s="906"/>
      <c r="F6" s="545">
        <v>3327</v>
      </c>
      <c r="G6" s="545">
        <v>632.13</v>
      </c>
      <c r="H6" s="546">
        <v>3959.13</v>
      </c>
    </row>
    <row r="7" spans="1:16">
      <c r="A7" s="903" t="s">
        <v>285</v>
      </c>
      <c r="B7" s="904"/>
      <c r="C7" s="544" t="s">
        <v>182</v>
      </c>
      <c r="D7" s="905">
        <f>189542+D22+D23+D24+D25+D26+D27+D28+D29+D30+D31+D32+D33+D34+D35+D36+D37+D38</f>
        <v>269733</v>
      </c>
      <c r="E7" s="906"/>
      <c r="F7" s="545">
        <f>838956.3+F22+F23+F24+F25+F26+F27+F28+F29+F30+F31+F32+F33+F34+F35+F36+F37+F38</f>
        <v>1139357.5000000002</v>
      </c>
      <c r="G7" s="545">
        <f>159401.697+G22+G23+G24+G25+G26+G27+G28+G29+G30+G31+G32+G33+G34+G35+G36+G37+G38</f>
        <v>216477.92499999999</v>
      </c>
      <c r="H7" s="546">
        <f>998357.997+H22+H23+H24+H25+H26+H27+H28+H29+H30+H31+H32+H33+H34+H35+H36+H37+H38</f>
        <v>1355835.4250000003</v>
      </c>
    </row>
    <row r="8" spans="1:16">
      <c r="A8" s="912" t="s">
        <v>77</v>
      </c>
      <c r="B8" s="913"/>
      <c r="C8" s="913"/>
      <c r="D8" s="913"/>
      <c r="E8" s="913"/>
      <c r="F8" s="547">
        <f>SUM(F3:F7)</f>
        <v>3307577</v>
      </c>
      <c r="G8" s="547">
        <f>SUM(G3:G7)</f>
        <v>628439.63</v>
      </c>
      <c r="H8" s="548">
        <f>SUM(H3:H7)</f>
        <v>3936017.83</v>
      </c>
      <c r="K8" s="3"/>
      <c r="M8" s="792"/>
    </row>
    <row r="9" spans="1:16">
      <c r="A9" s="907" t="s">
        <v>286</v>
      </c>
      <c r="B9" s="908"/>
      <c r="C9" s="908"/>
      <c r="D9" s="908"/>
      <c r="E9" s="908"/>
      <c r="F9" s="908"/>
      <c r="G9" s="908"/>
      <c r="H9" s="548">
        <f>2616640.969+114088.07+100000+100000+100000+19780.85+100000+100000</f>
        <v>3250509.889</v>
      </c>
      <c r="K9" s="3"/>
      <c r="M9" s="792"/>
    </row>
    <row r="10" spans="1:16" ht="13.5" thickBot="1">
      <c r="A10" s="914" t="s">
        <v>287</v>
      </c>
      <c r="B10" s="915"/>
      <c r="C10" s="915"/>
      <c r="D10" s="915"/>
      <c r="E10" s="915"/>
      <c r="F10" s="915"/>
      <c r="G10" s="915"/>
      <c r="H10" s="549">
        <f>+H8-H9</f>
        <v>685507.94100000011</v>
      </c>
      <c r="J10" s="3"/>
      <c r="M10" s="792"/>
    </row>
    <row r="11" spans="1:16" ht="13.5" thickBot="1">
      <c r="A11" s="402"/>
      <c r="B11" s="26"/>
      <c r="C11" s="680"/>
      <c r="D11" s="329"/>
      <c r="E11" s="401"/>
      <c r="F11" s="401"/>
      <c r="G11" s="401"/>
      <c r="H11" s="401"/>
      <c r="M11" s="792"/>
    </row>
    <row r="12" spans="1:16">
      <c r="A12" s="909" t="s">
        <v>288</v>
      </c>
      <c r="B12" s="910"/>
      <c r="C12" s="910"/>
      <c r="D12" s="910"/>
      <c r="E12" s="910"/>
      <c r="F12" s="910"/>
      <c r="G12" s="910"/>
      <c r="H12" s="911"/>
      <c r="M12" s="792"/>
    </row>
    <row r="13" spans="1:16" s="44" customFormat="1">
      <c r="A13" s="653">
        <v>43066</v>
      </c>
      <c r="B13" s="293" t="s">
        <v>234</v>
      </c>
      <c r="C13" s="422" t="s">
        <v>182</v>
      </c>
      <c r="D13" s="423">
        <v>13620</v>
      </c>
      <c r="E13" s="304">
        <v>0.3</v>
      </c>
      <c r="F13" s="304">
        <f t="shared" ref="F13" si="0">+D13*E13</f>
        <v>4086</v>
      </c>
      <c r="G13" s="304">
        <f t="shared" ref="G13" si="1">+F13*0.19</f>
        <v>776.34</v>
      </c>
      <c r="H13" s="550">
        <f t="shared" ref="H13" si="2">+G13+F13</f>
        <v>4862.34</v>
      </c>
      <c r="I13" s="293"/>
      <c r="J13" s="422"/>
      <c r="K13" s="422"/>
      <c r="L13" s="295"/>
      <c r="M13" s="793"/>
      <c r="N13" s="60"/>
      <c r="O13" s="646"/>
      <c r="P13" s="432"/>
    </row>
    <row r="14" spans="1:16" s="44" customFormat="1">
      <c r="A14" s="829">
        <v>43278</v>
      </c>
      <c r="B14" s="830" t="s">
        <v>267</v>
      </c>
      <c r="C14" s="831" t="s">
        <v>182</v>
      </c>
      <c r="D14" s="832">
        <v>32800</v>
      </c>
      <c r="E14" s="833">
        <v>1.45</v>
      </c>
      <c r="F14" s="833">
        <f t="shared" ref="F14:F38" si="3">+D14*E14</f>
        <v>47560</v>
      </c>
      <c r="G14" s="833">
        <f t="shared" ref="G14:G38" si="4">+F14*0.19</f>
        <v>9036.4</v>
      </c>
      <c r="H14" s="834">
        <f t="shared" ref="H14:H19" si="5">+F14+G14</f>
        <v>56596.4</v>
      </c>
      <c r="I14" s="293"/>
      <c r="J14" s="645"/>
      <c r="K14" s="422"/>
      <c r="L14" s="295"/>
      <c r="M14" s="793"/>
      <c r="O14" s="647"/>
      <c r="P14" s="429"/>
    </row>
    <row r="15" spans="1:16" s="44" customFormat="1">
      <c r="A15" s="829">
        <v>43328</v>
      </c>
      <c r="B15" s="830" t="s">
        <v>267</v>
      </c>
      <c r="C15" s="831" t="s">
        <v>182</v>
      </c>
      <c r="D15" s="832">
        <v>32860</v>
      </c>
      <c r="E15" s="833">
        <v>1.45</v>
      </c>
      <c r="F15" s="833">
        <f t="shared" si="3"/>
        <v>47647</v>
      </c>
      <c r="G15" s="833">
        <f t="shared" si="4"/>
        <v>9052.93</v>
      </c>
      <c r="H15" s="834">
        <f t="shared" si="5"/>
        <v>56699.93</v>
      </c>
      <c r="I15" s="293"/>
      <c r="J15" s="645"/>
      <c r="K15" s="422"/>
      <c r="L15" s="295"/>
      <c r="M15" s="793"/>
      <c r="O15" s="647"/>
      <c r="P15" s="429"/>
    </row>
    <row r="16" spans="1:16" s="44" customFormat="1">
      <c r="A16" s="829">
        <v>43287</v>
      </c>
      <c r="B16" s="830" t="s">
        <v>191</v>
      </c>
      <c r="C16" s="831" t="s">
        <v>182</v>
      </c>
      <c r="D16" s="832">
        <v>43160</v>
      </c>
      <c r="E16" s="833">
        <v>1.7</v>
      </c>
      <c r="F16" s="833">
        <f t="shared" si="3"/>
        <v>73372</v>
      </c>
      <c r="G16" s="833">
        <f t="shared" si="4"/>
        <v>13940.68</v>
      </c>
      <c r="H16" s="834">
        <f t="shared" si="5"/>
        <v>87312.68</v>
      </c>
      <c r="I16" s="293"/>
      <c r="J16" s="645"/>
      <c r="K16" s="422"/>
      <c r="L16" s="295"/>
      <c r="M16" s="43"/>
      <c r="O16" s="647"/>
      <c r="P16" s="429"/>
    </row>
    <row r="17" spans="1:16" s="44" customFormat="1">
      <c r="A17" s="829">
        <v>43328</v>
      </c>
      <c r="B17" s="830" t="s">
        <v>191</v>
      </c>
      <c r="C17" s="831" t="s">
        <v>182</v>
      </c>
      <c r="D17" s="832">
        <v>37100</v>
      </c>
      <c r="E17" s="833">
        <v>1.7</v>
      </c>
      <c r="F17" s="833">
        <f t="shared" si="3"/>
        <v>63070</v>
      </c>
      <c r="G17" s="833">
        <f t="shared" si="4"/>
        <v>11983.3</v>
      </c>
      <c r="H17" s="834">
        <f t="shared" si="5"/>
        <v>75053.3</v>
      </c>
      <c r="I17" s="293"/>
      <c r="J17" s="645"/>
      <c r="K17" s="422"/>
      <c r="L17" s="295"/>
      <c r="M17" s="43"/>
      <c r="O17" s="647"/>
      <c r="P17" s="429"/>
    </row>
    <row r="18" spans="1:16" s="44" customFormat="1">
      <c r="A18" s="829">
        <v>43297</v>
      </c>
      <c r="B18" s="830" t="s">
        <v>183</v>
      </c>
      <c r="C18" s="831" t="s">
        <v>182</v>
      </c>
      <c r="D18" s="832">
        <v>2423</v>
      </c>
      <c r="E18" s="833">
        <v>33</v>
      </c>
      <c r="F18" s="833">
        <f t="shared" si="3"/>
        <v>79959</v>
      </c>
      <c r="G18" s="833">
        <f t="shared" si="4"/>
        <v>15192.210000000001</v>
      </c>
      <c r="H18" s="834">
        <f t="shared" si="5"/>
        <v>95151.21</v>
      </c>
      <c r="I18" s="293"/>
      <c r="J18" s="645"/>
      <c r="K18" s="422"/>
      <c r="L18" s="295"/>
      <c r="M18" s="43"/>
      <c r="O18" s="647"/>
      <c r="P18" s="429"/>
    </row>
    <row r="19" spans="1:16" s="44" customFormat="1">
      <c r="A19" s="829">
        <v>43315</v>
      </c>
      <c r="B19" s="830" t="s">
        <v>183</v>
      </c>
      <c r="C19" s="831" t="s">
        <v>182</v>
      </c>
      <c r="D19" s="832">
        <v>2926</v>
      </c>
      <c r="E19" s="833">
        <v>33</v>
      </c>
      <c r="F19" s="833">
        <f t="shared" si="3"/>
        <v>96558</v>
      </c>
      <c r="G19" s="833">
        <f t="shared" si="4"/>
        <v>18346.02</v>
      </c>
      <c r="H19" s="834">
        <f t="shared" si="5"/>
        <v>114904.02</v>
      </c>
      <c r="I19" s="293"/>
      <c r="J19" s="645"/>
      <c r="K19" s="422"/>
      <c r="L19" s="295"/>
      <c r="M19" s="43"/>
      <c r="O19" s="647"/>
      <c r="P19" s="429"/>
    </row>
    <row r="20" spans="1:16" s="44" customFormat="1">
      <c r="A20" s="829">
        <v>43326</v>
      </c>
      <c r="B20" s="830" t="s">
        <v>183</v>
      </c>
      <c r="C20" s="831" t="s">
        <v>182</v>
      </c>
      <c r="D20" s="832">
        <v>2006</v>
      </c>
      <c r="E20" s="833">
        <v>33</v>
      </c>
      <c r="F20" s="833">
        <f t="shared" si="3"/>
        <v>66198</v>
      </c>
      <c r="G20" s="833">
        <f t="shared" si="4"/>
        <v>12577.62</v>
      </c>
      <c r="H20" s="834">
        <f t="shared" ref="H20:H38" si="6">+F20+G20</f>
        <v>78775.62</v>
      </c>
      <c r="I20" s="293"/>
      <c r="J20" s="645"/>
      <c r="K20" s="422"/>
      <c r="L20" s="295"/>
      <c r="M20" s="43"/>
      <c r="O20" s="647"/>
      <c r="P20" s="429"/>
    </row>
    <row r="21" spans="1:16" s="44" customFormat="1">
      <c r="A21" s="817">
        <v>43343</v>
      </c>
      <c r="B21" s="818" t="s">
        <v>183</v>
      </c>
      <c r="C21" s="819" t="s">
        <v>182</v>
      </c>
      <c r="D21" s="820">
        <v>2813</v>
      </c>
      <c r="E21" s="821">
        <v>31.5</v>
      </c>
      <c r="F21" s="821">
        <f t="shared" si="3"/>
        <v>88609.5</v>
      </c>
      <c r="G21" s="821">
        <f t="shared" si="4"/>
        <v>16835.805</v>
      </c>
      <c r="H21" s="822">
        <f t="shared" si="6"/>
        <v>105445.30499999999</v>
      </c>
      <c r="I21" s="293"/>
      <c r="J21" s="645"/>
      <c r="K21" s="422"/>
      <c r="L21" s="295"/>
      <c r="M21" s="43"/>
      <c r="O21" s="647"/>
      <c r="P21" s="429"/>
    </row>
    <row r="22" spans="1:16" s="44" customFormat="1">
      <c r="A22" s="829">
        <v>43297</v>
      </c>
      <c r="B22" s="830" t="s">
        <v>315</v>
      </c>
      <c r="C22" s="831" t="s">
        <v>182</v>
      </c>
      <c r="D22" s="832">
        <v>2559</v>
      </c>
      <c r="E22" s="833">
        <v>4.4000000000000004</v>
      </c>
      <c r="F22" s="833">
        <f t="shared" si="3"/>
        <v>11259.6</v>
      </c>
      <c r="G22" s="833">
        <f t="shared" si="4"/>
        <v>2139.3240000000001</v>
      </c>
      <c r="H22" s="834">
        <f>+F22+G22</f>
        <v>13398.924000000001</v>
      </c>
      <c r="I22" s="293"/>
      <c r="J22" s="645"/>
      <c r="K22" s="422"/>
      <c r="L22" s="295"/>
      <c r="M22" s="43"/>
      <c r="O22" s="647"/>
      <c r="P22" s="429"/>
    </row>
    <row r="23" spans="1:16" s="44" customFormat="1">
      <c r="A23" s="829">
        <v>43304</v>
      </c>
      <c r="B23" s="830" t="s">
        <v>315</v>
      </c>
      <c r="C23" s="831" t="s">
        <v>182</v>
      </c>
      <c r="D23" s="832">
        <v>6341</v>
      </c>
      <c r="E23" s="833">
        <v>4.4000000000000004</v>
      </c>
      <c r="F23" s="833">
        <f t="shared" si="3"/>
        <v>27900.400000000001</v>
      </c>
      <c r="G23" s="833">
        <f t="shared" si="4"/>
        <v>5301.076</v>
      </c>
      <c r="H23" s="834">
        <f t="shared" si="6"/>
        <v>33201.476000000002</v>
      </c>
      <c r="I23" s="293"/>
      <c r="J23" s="645"/>
      <c r="K23" s="422"/>
      <c r="L23" s="295"/>
      <c r="M23" s="43"/>
      <c r="O23" s="647"/>
      <c r="P23" s="429"/>
    </row>
    <row r="24" spans="1:16" s="44" customFormat="1">
      <c r="A24" s="829">
        <v>43307</v>
      </c>
      <c r="B24" s="830" t="s">
        <v>315</v>
      </c>
      <c r="C24" s="831" t="s">
        <v>182</v>
      </c>
      <c r="D24" s="832">
        <v>3011</v>
      </c>
      <c r="E24" s="833">
        <v>4.4000000000000004</v>
      </c>
      <c r="F24" s="833">
        <f t="shared" si="3"/>
        <v>13248.400000000001</v>
      </c>
      <c r="G24" s="833">
        <f t="shared" si="4"/>
        <v>2517.1960000000004</v>
      </c>
      <c r="H24" s="834">
        <f t="shared" si="6"/>
        <v>15765.596000000001</v>
      </c>
      <c r="I24" s="293"/>
      <c r="J24" s="645"/>
      <c r="K24" s="422"/>
      <c r="L24" s="295"/>
      <c r="M24" s="43"/>
      <c r="O24" s="647"/>
      <c r="P24" s="429"/>
    </row>
    <row r="25" spans="1:16" s="44" customFormat="1">
      <c r="A25" s="829">
        <v>43308</v>
      </c>
      <c r="B25" s="830" t="s">
        <v>315</v>
      </c>
      <c r="C25" s="831" t="s">
        <v>182</v>
      </c>
      <c r="D25" s="832">
        <v>4455</v>
      </c>
      <c r="E25" s="833">
        <v>4.4000000000000004</v>
      </c>
      <c r="F25" s="833">
        <f t="shared" si="3"/>
        <v>19602</v>
      </c>
      <c r="G25" s="833">
        <f t="shared" si="4"/>
        <v>3724.38</v>
      </c>
      <c r="H25" s="834">
        <f t="shared" si="6"/>
        <v>23326.38</v>
      </c>
      <c r="I25" s="293"/>
      <c r="J25" s="645"/>
      <c r="K25" s="422"/>
      <c r="L25" s="295"/>
      <c r="M25" s="43"/>
      <c r="O25" s="647"/>
      <c r="P25" s="429"/>
    </row>
    <row r="26" spans="1:16" s="44" customFormat="1">
      <c r="A26" s="653">
        <v>43315</v>
      </c>
      <c r="B26" s="293" t="s">
        <v>315</v>
      </c>
      <c r="C26" s="422" t="s">
        <v>182</v>
      </c>
      <c r="D26" s="832">
        <v>5677</v>
      </c>
      <c r="E26" s="304">
        <v>4.4000000000000004</v>
      </c>
      <c r="F26" s="833">
        <f t="shared" si="3"/>
        <v>24978.800000000003</v>
      </c>
      <c r="G26" s="833">
        <f t="shared" si="4"/>
        <v>4745.9720000000007</v>
      </c>
      <c r="H26" s="550">
        <f t="shared" si="6"/>
        <v>29724.772000000004</v>
      </c>
      <c r="I26" s="293"/>
      <c r="J26" s="645"/>
      <c r="K26" s="422"/>
      <c r="L26" s="295"/>
      <c r="M26" s="43"/>
      <c r="O26" s="647"/>
      <c r="P26" s="429"/>
    </row>
    <row r="27" spans="1:16" s="44" customFormat="1">
      <c r="A27" s="653">
        <v>43320</v>
      </c>
      <c r="B27" s="293" t="s">
        <v>315</v>
      </c>
      <c r="C27" s="422" t="s">
        <v>182</v>
      </c>
      <c r="D27" s="832">
        <v>1289</v>
      </c>
      <c r="E27" s="304">
        <v>4.4000000000000004</v>
      </c>
      <c r="F27" s="833">
        <f t="shared" si="3"/>
        <v>5671.6</v>
      </c>
      <c r="G27" s="833">
        <f t="shared" si="4"/>
        <v>1077.604</v>
      </c>
      <c r="H27" s="550">
        <f t="shared" si="6"/>
        <v>6749.2040000000006</v>
      </c>
      <c r="I27" s="293"/>
      <c r="J27" s="645"/>
      <c r="K27" s="422"/>
      <c r="L27" s="295"/>
      <c r="M27" s="43"/>
      <c r="O27" s="647"/>
      <c r="P27" s="429"/>
    </row>
    <row r="28" spans="1:16" s="44" customFormat="1">
      <c r="A28" s="653">
        <v>43325</v>
      </c>
      <c r="B28" s="293" t="s">
        <v>315</v>
      </c>
      <c r="C28" s="422" t="s">
        <v>182</v>
      </c>
      <c r="D28" s="832">
        <v>4241</v>
      </c>
      <c r="E28" s="304">
        <v>4.4000000000000004</v>
      </c>
      <c r="F28" s="833">
        <f t="shared" si="3"/>
        <v>18660.400000000001</v>
      </c>
      <c r="G28" s="833">
        <f t="shared" si="4"/>
        <v>3545.4760000000001</v>
      </c>
      <c r="H28" s="550">
        <f t="shared" si="6"/>
        <v>22205.876</v>
      </c>
      <c r="I28" s="293"/>
      <c r="J28" s="645"/>
      <c r="K28" s="422"/>
      <c r="L28" s="295"/>
      <c r="M28" s="43"/>
      <c r="O28" s="647"/>
      <c r="P28" s="429"/>
    </row>
    <row r="29" spans="1:16" s="44" customFormat="1">
      <c r="A29" s="653">
        <v>43326</v>
      </c>
      <c r="B29" s="293" t="s">
        <v>315</v>
      </c>
      <c r="C29" s="422" t="s">
        <v>182</v>
      </c>
      <c r="D29" s="832">
        <v>5530</v>
      </c>
      <c r="E29" s="304">
        <v>4.4000000000000004</v>
      </c>
      <c r="F29" s="833">
        <f t="shared" si="3"/>
        <v>24332.000000000004</v>
      </c>
      <c r="G29" s="833">
        <f t="shared" si="4"/>
        <v>4623.0800000000008</v>
      </c>
      <c r="H29" s="550">
        <f t="shared" si="6"/>
        <v>28955.080000000005</v>
      </c>
      <c r="I29" s="293"/>
      <c r="J29" s="645"/>
      <c r="K29" s="422"/>
      <c r="L29" s="295"/>
      <c r="M29" s="43"/>
      <c r="O29" s="647"/>
      <c r="P29" s="429"/>
    </row>
    <row r="30" spans="1:16" s="44" customFormat="1">
      <c r="A30" s="653">
        <v>43328</v>
      </c>
      <c r="B30" s="293" t="s">
        <v>315</v>
      </c>
      <c r="C30" s="422" t="s">
        <v>182</v>
      </c>
      <c r="D30" s="832">
        <v>2022</v>
      </c>
      <c r="E30" s="304">
        <v>4.4000000000000004</v>
      </c>
      <c r="F30" s="833">
        <f t="shared" si="3"/>
        <v>8896.8000000000011</v>
      </c>
      <c r="G30" s="833">
        <f t="shared" si="4"/>
        <v>1690.3920000000003</v>
      </c>
      <c r="H30" s="550">
        <f t="shared" si="6"/>
        <v>10587.192000000001</v>
      </c>
      <c r="I30" s="293"/>
      <c r="J30" s="645"/>
      <c r="K30" s="422"/>
      <c r="L30" s="295"/>
      <c r="M30" s="43"/>
      <c r="O30" s="647"/>
      <c r="P30" s="429"/>
    </row>
    <row r="31" spans="1:16" s="44" customFormat="1">
      <c r="A31" s="653">
        <v>43329</v>
      </c>
      <c r="B31" s="293" t="s">
        <v>315</v>
      </c>
      <c r="C31" s="422" t="s">
        <v>182</v>
      </c>
      <c r="D31" s="832">
        <v>1870</v>
      </c>
      <c r="E31" s="304">
        <v>4.4000000000000004</v>
      </c>
      <c r="F31" s="833">
        <f t="shared" si="3"/>
        <v>8228</v>
      </c>
      <c r="G31" s="833">
        <f t="shared" si="4"/>
        <v>1563.32</v>
      </c>
      <c r="H31" s="550">
        <f t="shared" si="6"/>
        <v>9791.32</v>
      </c>
      <c r="I31" s="293"/>
      <c r="J31" s="645"/>
      <c r="K31" s="422"/>
      <c r="L31" s="295"/>
      <c r="M31" s="43"/>
      <c r="O31" s="647"/>
      <c r="P31" s="429"/>
    </row>
    <row r="32" spans="1:16" s="44" customFormat="1">
      <c r="A32" s="653">
        <v>43329</v>
      </c>
      <c r="B32" s="293" t="s">
        <v>315</v>
      </c>
      <c r="C32" s="422" t="s">
        <v>182</v>
      </c>
      <c r="D32" s="832">
        <f>763+1170+712+967+742+330</f>
        <v>4684</v>
      </c>
      <c r="E32" s="304">
        <v>4.4000000000000004</v>
      </c>
      <c r="F32" s="833">
        <f t="shared" si="3"/>
        <v>20609.600000000002</v>
      </c>
      <c r="G32" s="833">
        <f t="shared" si="4"/>
        <v>3915.8240000000005</v>
      </c>
      <c r="H32" s="550">
        <f t="shared" si="6"/>
        <v>24525.424000000003</v>
      </c>
      <c r="I32" s="293"/>
      <c r="J32" s="645"/>
      <c r="K32" s="422"/>
      <c r="L32" s="295"/>
      <c r="M32" s="43"/>
      <c r="O32" s="647"/>
      <c r="P32" s="429"/>
    </row>
    <row r="33" spans="1:16" s="44" customFormat="1">
      <c r="A33" s="653">
        <v>43330</v>
      </c>
      <c r="B33" s="293" t="s">
        <v>315</v>
      </c>
      <c r="C33" s="422" t="s">
        <v>182</v>
      </c>
      <c r="D33" s="832">
        <v>1798</v>
      </c>
      <c r="E33" s="304">
        <v>4.4000000000000004</v>
      </c>
      <c r="F33" s="833">
        <f t="shared" si="3"/>
        <v>7911.2000000000007</v>
      </c>
      <c r="G33" s="833">
        <f t="shared" si="4"/>
        <v>1503.1280000000002</v>
      </c>
      <c r="H33" s="550">
        <f t="shared" si="6"/>
        <v>9414.3280000000013</v>
      </c>
      <c r="I33" s="293"/>
      <c r="J33" s="645"/>
      <c r="K33" s="422"/>
      <c r="L33" s="295"/>
      <c r="M33" s="43"/>
      <c r="O33" s="647"/>
      <c r="P33" s="429"/>
    </row>
    <row r="34" spans="1:16" s="44" customFormat="1">
      <c r="A34" s="653">
        <v>43332</v>
      </c>
      <c r="B34" s="293" t="s">
        <v>315</v>
      </c>
      <c r="C34" s="422" t="s">
        <v>182</v>
      </c>
      <c r="D34" s="832">
        <v>7540</v>
      </c>
      <c r="E34" s="304">
        <v>4.4000000000000004</v>
      </c>
      <c r="F34" s="833">
        <f t="shared" si="3"/>
        <v>33176</v>
      </c>
      <c r="G34" s="833">
        <f t="shared" si="4"/>
        <v>6303.4400000000005</v>
      </c>
      <c r="H34" s="550">
        <f t="shared" si="6"/>
        <v>39479.440000000002</v>
      </c>
      <c r="I34" s="293"/>
      <c r="J34" s="645"/>
      <c r="K34" s="422"/>
      <c r="L34" s="295"/>
      <c r="M34" s="43"/>
      <c r="O34" s="647"/>
      <c r="P34" s="429"/>
    </row>
    <row r="35" spans="1:16" s="44" customFormat="1">
      <c r="A35" s="817">
        <v>43339</v>
      </c>
      <c r="B35" s="818" t="s">
        <v>315</v>
      </c>
      <c r="C35" s="819" t="s">
        <v>182</v>
      </c>
      <c r="D35" s="820">
        <v>11918</v>
      </c>
      <c r="E35" s="821"/>
      <c r="F35" s="821">
        <f t="shared" si="3"/>
        <v>0</v>
      </c>
      <c r="G35" s="821">
        <f t="shared" si="4"/>
        <v>0</v>
      </c>
      <c r="H35" s="822">
        <f t="shared" si="6"/>
        <v>0</v>
      </c>
      <c r="I35" s="293"/>
      <c r="J35" s="645"/>
      <c r="K35" s="422"/>
      <c r="L35" s="295"/>
      <c r="M35" s="43"/>
      <c r="O35" s="647"/>
      <c r="P35" s="429"/>
    </row>
    <row r="36" spans="1:16" s="44" customFormat="1">
      <c r="A36" s="653">
        <v>43342</v>
      </c>
      <c r="B36" s="293" t="s">
        <v>315</v>
      </c>
      <c r="C36" s="422" t="s">
        <v>182</v>
      </c>
      <c r="D36" s="832">
        <v>2072</v>
      </c>
      <c r="E36" s="304">
        <v>4.4000000000000004</v>
      </c>
      <c r="F36" s="833">
        <f t="shared" si="3"/>
        <v>9116.8000000000011</v>
      </c>
      <c r="G36" s="833">
        <f t="shared" si="4"/>
        <v>1732.1920000000002</v>
      </c>
      <c r="H36" s="550">
        <f t="shared" si="6"/>
        <v>10848.992000000002</v>
      </c>
      <c r="I36" s="293"/>
      <c r="J36" s="645"/>
      <c r="K36" s="422"/>
      <c r="L36" s="295"/>
      <c r="M36" s="43"/>
      <c r="O36" s="647"/>
      <c r="P36" s="429"/>
    </row>
    <row r="37" spans="1:16" s="44" customFormat="1">
      <c r="A37" s="653">
        <v>43343</v>
      </c>
      <c r="B37" s="293" t="s">
        <v>315</v>
      </c>
      <c r="C37" s="422" t="s">
        <v>182</v>
      </c>
      <c r="D37" s="832">
        <v>8257</v>
      </c>
      <c r="E37" s="304">
        <v>4.4000000000000004</v>
      </c>
      <c r="F37" s="833">
        <f t="shared" si="3"/>
        <v>36330.800000000003</v>
      </c>
      <c r="G37" s="833">
        <f t="shared" si="4"/>
        <v>6902.8520000000008</v>
      </c>
      <c r="H37" s="550">
        <f t="shared" si="6"/>
        <v>43233.652000000002</v>
      </c>
      <c r="I37" s="293"/>
      <c r="J37" s="645"/>
      <c r="K37" s="422"/>
      <c r="L37" s="295"/>
      <c r="M37" s="43"/>
      <c r="O37" s="647"/>
      <c r="P37" s="429"/>
    </row>
    <row r="38" spans="1:16" s="44" customFormat="1">
      <c r="A38" s="653">
        <v>43348</v>
      </c>
      <c r="B38" s="293" t="s">
        <v>315</v>
      </c>
      <c r="C38" s="422" t="s">
        <v>182</v>
      </c>
      <c r="D38" s="423">
        <v>6927</v>
      </c>
      <c r="E38" s="304">
        <v>4.4000000000000004</v>
      </c>
      <c r="F38" s="304">
        <f t="shared" si="3"/>
        <v>30478.800000000003</v>
      </c>
      <c r="G38" s="304">
        <f t="shared" si="4"/>
        <v>5790.9720000000007</v>
      </c>
      <c r="H38" s="550">
        <f t="shared" si="6"/>
        <v>36269.772000000004</v>
      </c>
      <c r="I38" s="293"/>
      <c r="J38" s="645"/>
      <c r="K38" s="422"/>
      <c r="L38" s="295"/>
      <c r="M38" s="43"/>
      <c r="O38" s="647"/>
      <c r="P38" s="429"/>
    </row>
    <row r="39" spans="1:16" s="44" customFormat="1" ht="13.5" thickBot="1">
      <c r="A39" s="654"/>
      <c r="B39" s="648"/>
      <c r="C39" s="649"/>
      <c r="D39" s="650"/>
      <c r="E39" s="651"/>
      <c r="F39" s="651"/>
      <c r="G39" s="651"/>
      <c r="H39" s="652"/>
      <c r="J39" s="645"/>
      <c r="K39" s="645"/>
      <c r="L39" s="295"/>
      <c r="M39" s="43"/>
      <c r="N39" s="60"/>
      <c r="O39" s="646"/>
      <c r="P39" s="432"/>
    </row>
    <row r="40" spans="1:16" ht="13.5" thickBot="1">
      <c r="H40" s="681">
        <f>SUM(H13:H39)</f>
        <v>1032278.233</v>
      </c>
    </row>
    <row r="42" spans="1:16">
      <c r="A42" s="916" t="s">
        <v>2450</v>
      </c>
      <c r="B42" s="916"/>
      <c r="C42" s="916"/>
      <c r="D42" s="916"/>
      <c r="E42" s="916"/>
      <c r="F42" s="916"/>
      <c r="G42" s="916"/>
      <c r="H42" s="916"/>
    </row>
    <row r="43" spans="1:16" ht="13.5" thickBot="1">
      <c r="A43" s="402"/>
      <c r="B43" s="26"/>
      <c r="C43" s="680"/>
      <c r="D43" s="329"/>
      <c r="E43" s="401"/>
      <c r="F43" s="401"/>
      <c r="G43" s="401"/>
      <c r="H43" s="401"/>
    </row>
    <row r="44" spans="1:16">
      <c r="A44" s="917" t="s">
        <v>282</v>
      </c>
      <c r="B44" s="918"/>
      <c r="C44" s="541" t="s">
        <v>182</v>
      </c>
      <c r="D44" s="919">
        <v>0</v>
      </c>
      <c r="E44" s="920"/>
      <c r="F44" s="542">
        <v>0</v>
      </c>
      <c r="G44" s="542">
        <v>0</v>
      </c>
      <c r="H44" s="543">
        <v>0</v>
      </c>
    </row>
    <row r="45" spans="1:16">
      <c r="A45" s="903" t="s">
        <v>283</v>
      </c>
      <c r="B45" s="904"/>
      <c r="C45" s="544" t="s">
        <v>182</v>
      </c>
      <c r="D45" s="905">
        <f>1159338+D56+D57+D58+D59+D60</f>
        <v>1342018</v>
      </c>
      <c r="E45" s="906"/>
      <c r="F45" s="545">
        <f>1894128.6+F56+F57+F58+F59+F60</f>
        <v>2204684.6</v>
      </c>
      <c r="G45" s="545">
        <f>359884.434+G56+G57+G58+G59+G60</f>
        <v>418890.07400000008</v>
      </c>
      <c r="H45" s="546">
        <f>2254032.834+H56+H57+H58+H59+H60</f>
        <v>2623597.4740000004</v>
      </c>
    </row>
    <row r="46" spans="1:16">
      <c r="A46" s="903" t="s">
        <v>284</v>
      </c>
      <c r="B46" s="904"/>
      <c r="C46" s="544" t="s">
        <v>182</v>
      </c>
      <c r="D46" s="905">
        <v>531</v>
      </c>
      <c r="E46" s="906"/>
      <c r="F46" s="545">
        <v>16992</v>
      </c>
      <c r="G46" s="545">
        <v>3228.48</v>
      </c>
      <c r="H46" s="546">
        <v>20221.080000000002</v>
      </c>
    </row>
    <row r="47" spans="1:16">
      <c r="A47" s="903" t="s">
        <v>285</v>
      </c>
      <c r="B47" s="904"/>
      <c r="C47" s="544" t="s">
        <v>182</v>
      </c>
      <c r="D47" s="905">
        <v>8502</v>
      </c>
      <c r="E47" s="906"/>
      <c r="F47" s="545">
        <v>37408.800000000003</v>
      </c>
      <c r="G47" s="545">
        <v>7107.6719999999996</v>
      </c>
      <c r="H47" s="546">
        <v>44518.872000000003</v>
      </c>
    </row>
    <row r="48" spans="1:16">
      <c r="A48" s="912" t="s">
        <v>77</v>
      </c>
      <c r="B48" s="913"/>
      <c r="C48" s="913"/>
      <c r="D48" s="913"/>
      <c r="E48" s="913"/>
      <c r="F48" s="547">
        <f>SUM(F44:F47)</f>
        <v>2259085.4</v>
      </c>
      <c r="G48" s="547">
        <f>SUM(G44:G47)</f>
        <v>429226.22600000008</v>
      </c>
      <c r="H48" s="548">
        <f>SUM(H44:H47)</f>
        <v>2688337.4260000004</v>
      </c>
    </row>
    <row r="49" spans="1:17">
      <c r="A49" s="907" t="s">
        <v>286</v>
      </c>
      <c r="B49" s="908"/>
      <c r="C49" s="908"/>
      <c r="D49" s="908"/>
      <c r="E49" s="908"/>
      <c r="F49" s="908"/>
      <c r="G49" s="908"/>
      <c r="H49" s="548">
        <f>2084183.906+H53+H54+H55+H56+H57</f>
        <v>2465724.7060000002</v>
      </c>
    </row>
    <row r="50" spans="1:17" ht="13.5" thickBot="1">
      <c r="A50" s="914" t="s">
        <v>287</v>
      </c>
      <c r="B50" s="915"/>
      <c r="C50" s="915"/>
      <c r="D50" s="915"/>
      <c r="E50" s="915"/>
      <c r="F50" s="915"/>
      <c r="G50" s="915"/>
      <c r="H50" s="549">
        <f>+H48-H49</f>
        <v>222612.7200000002</v>
      </c>
    </row>
    <row r="51" spans="1:17" ht="13.5" thickBot="1"/>
    <row r="52" spans="1:17">
      <c r="A52" s="909"/>
      <c r="B52" s="910"/>
      <c r="C52" s="910"/>
      <c r="D52" s="910"/>
      <c r="E52" s="910"/>
      <c r="F52" s="910"/>
      <c r="G52" s="910"/>
      <c r="H52" s="911"/>
    </row>
    <row r="53" spans="1:17" s="429" customFormat="1" hidden="1">
      <c r="A53" s="655">
        <v>43236</v>
      </c>
      <c r="B53" s="430" t="s">
        <v>191</v>
      </c>
      <c r="C53" s="435" t="s">
        <v>227</v>
      </c>
      <c r="D53" s="436">
        <v>38380</v>
      </c>
      <c r="E53" s="437">
        <v>1.7</v>
      </c>
      <c r="F53" s="437">
        <f t="shared" ref="F53:F59" si="7">D53*E53</f>
        <v>65246</v>
      </c>
      <c r="G53" s="437">
        <f t="shared" ref="G53:G59" si="8">F53*0.19</f>
        <v>12396.74</v>
      </c>
      <c r="H53" s="656">
        <f t="shared" ref="H53:H59" si="9">F53+G53+0.6</f>
        <v>77643.340000000011</v>
      </c>
      <c r="I53" s="430"/>
      <c r="J53" s="430"/>
      <c r="K53" s="435"/>
      <c r="L53" s="437"/>
      <c r="M53" s="438"/>
      <c r="N53" s="431"/>
      <c r="O53" s="433"/>
      <c r="P53" s="431"/>
      <c r="Q53" s="430"/>
    </row>
    <row r="54" spans="1:17" s="429" customFormat="1" hidden="1">
      <c r="A54" s="655">
        <v>43283</v>
      </c>
      <c r="B54" s="430" t="s">
        <v>191</v>
      </c>
      <c r="C54" s="435" t="s">
        <v>227</v>
      </c>
      <c r="D54" s="436">
        <v>35900</v>
      </c>
      <c r="E54" s="437">
        <v>1.7</v>
      </c>
      <c r="F54" s="437">
        <f t="shared" si="7"/>
        <v>61030</v>
      </c>
      <c r="G54" s="437">
        <f t="shared" si="8"/>
        <v>11595.7</v>
      </c>
      <c r="H54" s="656">
        <f t="shared" si="9"/>
        <v>72626.3</v>
      </c>
      <c r="I54" s="430"/>
      <c r="J54" s="430"/>
      <c r="K54" s="435"/>
      <c r="L54" s="437"/>
      <c r="M54" s="438"/>
      <c r="N54" s="431"/>
      <c r="O54" s="433"/>
      <c r="P54" s="431"/>
      <c r="Q54" s="430"/>
    </row>
    <row r="55" spans="1:17" s="429" customFormat="1" hidden="1">
      <c r="A55" s="655">
        <v>43285</v>
      </c>
      <c r="B55" s="430" t="s">
        <v>191</v>
      </c>
      <c r="C55" s="435" t="s">
        <v>227</v>
      </c>
      <c r="D55" s="436">
        <v>41680</v>
      </c>
      <c r="E55" s="437">
        <v>1.7</v>
      </c>
      <c r="F55" s="437">
        <f t="shared" si="7"/>
        <v>70856</v>
      </c>
      <c r="G55" s="437">
        <f t="shared" si="8"/>
        <v>13462.64</v>
      </c>
      <c r="H55" s="656">
        <f t="shared" si="9"/>
        <v>84319.24</v>
      </c>
      <c r="I55" s="430"/>
      <c r="J55" s="430"/>
      <c r="K55" s="435"/>
      <c r="L55" s="437"/>
      <c r="M55" s="438"/>
      <c r="N55" s="431"/>
      <c r="O55" s="433"/>
      <c r="P55" s="431"/>
      <c r="Q55" s="430"/>
    </row>
    <row r="56" spans="1:17" s="429" customFormat="1" hidden="1">
      <c r="A56" s="655">
        <v>43291</v>
      </c>
      <c r="B56" s="430" t="s">
        <v>191</v>
      </c>
      <c r="C56" s="435" t="s">
        <v>227</v>
      </c>
      <c r="D56" s="436">
        <v>38960</v>
      </c>
      <c r="E56" s="437">
        <v>1.7</v>
      </c>
      <c r="F56" s="437">
        <f t="shared" si="7"/>
        <v>66232</v>
      </c>
      <c r="G56" s="437">
        <f t="shared" si="8"/>
        <v>12584.08</v>
      </c>
      <c r="H56" s="656">
        <f t="shared" si="9"/>
        <v>78816.680000000008</v>
      </c>
      <c r="I56" s="430"/>
      <c r="J56" s="430"/>
      <c r="K56" s="435"/>
      <c r="L56" s="437"/>
      <c r="M56" s="438"/>
      <c r="N56" s="431"/>
      <c r="O56" s="433"/>
      <c r="P56" s="431"/>
      <c r="Q56" s="430"/>
    </row>
    <row r="57" spans="1:17" s="429" customFormat="1" hidden="1">
      <c r="A57" s="655">
        <v>43298</v>
      </c>
      <c r="B57" s="430" t="s">
        <v>191</v>
      </c>
      <c r="C57" s="435" t="s">
        <v>227</v>
      </c>
      <c r="D57" s="436">
        <v>33680</v>
      </c>
      <c r="E57" s="437">
        <v>1.7</v>
      </c>
      <c r="F57" s="437">
        <f t="shared" si="7"/>
        <v>57256</v>
      </c>
      <c r="G57" s="437">
        <f t="shared" si="8"/>
        <v>10878.64</v>
      </c>
      <c r="H57" s="656">
        <f t="shared" si="9"/>
        <v>68135.240000000005</v>
      </c>
      <c r="I57" s="430"/>
      <c r="J57" s="430"/>
      <c r="K57" s="435"/>
      <c r="L57" s="437"/>
      <c r="M57" s="438"/>
      <c r="N57" s="431"/>
      <c r="O57" s="433"/>
      <c r="P57" s="431"/>
      <c r="Q57" s="430"/>
    </row>
    <row r="58" spans="1:17" s="429" customFormat="1">
      <c r="A58" s="655">
        <v>43300</v>
      </c>
      <c r="B58" s="430" t="s">
        <v>191</v>
      </c>
      <c r="C58" s="435" t="s">
        <v>227</v>
      </c>
      <c r="D58" s="436">
        <v>35440</v>
      </c>
      <c r="E58" s="437">
        <v>1.7</v>
      </c>
      <c r="F58" s="437">
        <f t="shared" si="7"/>
        <v>60248</v>
      </c>
      <c r="G58" s="437">
        <f t="shared" si="8"/>
        <v>11447.12</v>
      </c>
      <c r="H58" s="656">
        <f t="shared" si="9"/>
        <v>71695.72</v>
      </c>
      <c r="I58" s="430"/>
      <c r="J58" s="430"/>
      <c r="K58" s="435"/>
      <c r="L58" s="437"/>
      <c r="M58" s="438"/>
      <c r="N58" s="431"/>
      <c r="O58" s="433"/>
      <c r="P58" s="431"/>
      <c r="Q58" s="430"/>
    </row>
    <row r="59" spans="1:17" s="429" customFormat="1">
      <c r="A59" s="655">
        <v>43304</v>
      </c>
      <c r="B59" s="430" t="s">
        <v>191</v>
      </c>
      <c r="C59" s="435" t="s">
        <v>227</v>
      </c>
      <c r="D59" s="436">
        <v>40300</v>
      </c>
      <c r="E59" s="437">
        <v>1.7</v>
      </c>
      <c r="F59" s="437">
        <f t="shared" si="7"/>
        <v>68510</v>
      </c>
      <c r="G59" s="437">
        <f t="shared" si="8"/>
        <v>13016.9</v>
      </c>
      <c r="H59" s="656">
        <f t="shared" si="9"/>
        <v>81527.5</v>
      </c>
      <c r="I59" s="430"/>
      <c r="J59" s="430"/>
      <c r="K59" s="435"/>
      <c r="L59" s="437"/>
      <c r="M59" s="438"/>
      <c r="N59" s="431"/>
      <c r="O59" s="433"/>
      <c r="P59" s="431"/>
      <c r="Q59" s="430"/>
    </row>
    <row r="60" spans="1:17" s="429" customFormat="1">
      <c r="A60" s="655">
        <v>43347</v>
      </c>
      <c r="B60" s="430" t="s">
        <v>191</v>
      </c>
      <c r="C60" s="435" t="s">
        <v>227</v>
      </c>
      <c r="D60" s="436">
        <v>34300</v>
      </c>
      <c r="E60" s="437">
        <v>1.7</v>
      </c>
      <c r="F60" s="437">
        <f t="shared" ref="F60" si="10">D60*E60</f>
        <v>58310</v>
      </c>
      <c r="G60" s="437">
        <f t="shared" ref="G60" si="11">F60*0.19</f>
        <v>11078.9</v>
      </c>
      <c r="H60" s="656">
        <f t="shared" ref="H60" si="12">F60+G60+0.6</f>
        <v>69389.5</v>
      </c>
      <c r="I60" s="430"/>
      <c r="J60" s="430"/>
      <c r="K60" s="435"/>
      <c r="L60" s="437"/>
      <c r="M60" s="438"/>
      <c r="N60" s="431"/>
      <c r="O60" s="433"/>
      <c r="P60" s="431"/>
      <c r="Q60" s="430"/>
    </row>
    <row r="61" spans="1:17" s="429" customFormat="1" ht="13.5" thickBot="1">
      <c r="A61" s="657"/>
      <c r="B61" s="658"/>
      <c r="C61" s="659"/>
      <c r="D61" s="660"/>
      <c r="E61" s="661"/>
      <c r="F61" s="661"/>
      <c r="G61" s="661"/>
      <c r="H61" s="662"/>
      <c r="I61" s="430"/>
      <c r="J61" s="430"/>
      <c r="K61" s="435"/>
      <c r="L61" s="437"/>
      <c r="M61" s="438"/>
      <c r="N61" s="431"/>
      <c r="O61" s="433"/>
      <c r="P61" s="431"/>
      <c r="Q61" s="430"/>
    </row>
    <row r="62" spans="1:17" s="429" customFormat="1">
      <c r="A62" s="434"/>
      <c r="B62" s="430"/>
      <c r="C62" s="435"/>
      <c r="D62" s="436"/>
      <c r="E62" s="437"/>
      <c r="F62" s="437"/>
      <c r="G62" s="437"/>
      <c r="H62" s="437"/>
      <c r="I62" s="430"/>
      <c r="J62" s="430"/>
      <c r="K62" s="435"/>
      <c r="L62" s="437"/>
      <c r="M62" s="438"/>
      <c r="N62" s="431"/>
      <c r="O62" s="433"/>
      <c r="P62" s="431"/>
      <c r="Q62" s="430"/>
    </row>
    <row r="63" spans="1:17">
      <c r="A63" s="916" t="s">
        <v>2449</v>
      </c>
      <c r="B63" s="916"/>
      <c r="C63" s="916"/>
      <c r="D63" s="916"/>
      <c r="E63" s="916"/>
      <c r="F63" s="916"/>
      <c r="G63" s="916"/>
      <c r="H63" s="916"/>
    </row>
    <row r="64" spans="1:17" ht="13.5" thickBot="1">
      <c r="A64" s="402"/>
      <c r="B64" s="26"/>
      <c r="C64" s="680"/>
      <c r="D64" s="329"/>
      <c r="E64" s="401"/>
      <c r="F64" s="401"/>
      <c r="G64" s="401"/>
      <c r="H64" s="401"/>
    </row>
    <row r="65" spans="1:17">
      <c r="A65" s="917" t="s">
        <v>282</v>
      </c>
      <c r="B65" s="918"/>
      <c r="C65" s="541" t="s">
        <v>182</v>
      </c>
      <c r="D65" s="919">
        <v>0</v>
      </c>
      <c r="E65" s="920"/>
      <c r="F65" s="542">
        <v>0</v>
      </c>
      <c r="G65" s="542">
        <v>0</v>
      </c>
      <c r="H65" s="543">
        <v>0</v>
      </c>
    </row>
    <row r="66" spans="1:17">
      <c r="A66" s="903" t="s">
        <v>283</v>
      </c>
      <c r="B66" s="904"/>
      <c r="C66" s="544" t="s">
        <v>182</v>
      </c>
      <c r="D66" s="905">
        <f>367820+D73+D74+D76+D77</f>
        <v>516620</v>
      </c>
      <c r="E66" s="906"/>
      <c r="F66" s="545">
        <f>586310+F73+F74+F75+F76+F77</f>
        <v>897780</v>
      </c>
      <c r="G66" s="545">
        <f>111398.9+G73+G74+G75+G76+G77</f>
        <v>170930.57209999996</v>
      </c>
      <c r="H66" s="546">
        <f>702686.696+H73+H74+H75+H76+H77</f>
        <v>1074340.5880999998</v>
      </c>
    </row>
    <row r="67" spans="1:17">
      <c r="A67" s="903" t="s">
        <v>284</v>
      </c>
      <c r="B67" s="904"/>
      <c r="C67" s="544" t="s">
        <v>182</v>
      </c>
      <c r="D67" s="905">
        <v>0</v>
      </c>
      <c r="E67" s="906"/>
      <c r="F67" s="545">
        <v>0</v>
      </c>
      <c r="G67" s="545">
        <v>0</v>
      </c>
      <c r="H67" s="546">
        <v>0</v>
      </c>
    </row>
    <row r="68" spans="1:17">
      <c r="A68" s="903" t="s">
        <v>285</v>
      </c>
      <c r="B68" s="904"/>
      <c r="C68" s="544" t="s">
        <v>182</v>
      </c>
      <c r="D68" s="905">
        <v>0</v>
      </c>
      <c r="E68" s="906"/>
      <c r="F68" s="545">
        <v>0</v>
      </c>
      <c r="G68" s="545">
        <v>0</v>
      </c>
      <c r="H68" s="546">
        <v>0</v>
      </c>
    </row>
    <row r="69" spans="1:17">
      <c r="A69" s="912" t="s">
        <v>77</v>
      </c>
      <c r="B69" s="913"/>
      <c r="C69" s="913"/>
      <c r="D69" s="913"/>
      <c r="E69" s="913"/>
      <c r="F69" s="547">
        <f>SUM(F65:F68)</f>
        <v>897780</v>
      </c>
      <c r="G69" s="547">
        <f>SUM(G65:G68)</f>
        <v>170930.57209999996</v>
      </c>
      <c r="H69" s="548">
        <f>SUM(H65:H68)</f>
        <v>1074340.5880999998</v>
      </c>
    </row>
    <row r="70" spans="1:17">
      <c r="A70" s="907" t="s">
        <v>286</v>
      </c>
      <c r="B70" s="908"/>
      <c r="C70" s="908"/>
      <c r="D70" s="908"/>
      <c r="E70" s="908"/>
      <c r="F70" s="908"/>
      <c r="G70" s="908"/>
      <c r="H70" s="548">
        <f>702686.696+H74+H75+H73+H76</f>
        <v>997546.90809999988</v>
      </c>
    </row>
    <row r="71" spans="1:17" ht="13.5" thickBot="1">
      <c r="A71" s="914" t="s">
        <v>287</v>
      </c>
      <c r="B71" s="915"/>
      <c r="C71" s="915"/>
      <c r="D71" s="915"/>
      <c r="E71" s="915"/>
      <c r="F71" s="915"/>
      <c r="G71" s="915"/>
      <c r="H71" s="549">
        <f>+H69-H70</f>
        <v>76793.679999999935</v>
      </c>
    </row>
    <row r="72" spans="1:17" ht="13.5" thickBot="1"/>
    <row r="73" spans="1:17" s="429" customFormat="1" hidden="1">
      <c r="A73" s="655">
        <v>43292</v>
      </c>
      <c r="B73" s="430" t="s">
        <v>191</v>
      </c>
      <c r="C73" s="435" t="s">
        <v>182</v>
      </c>
      <c r="D73" s="436">
        <v>37260</v>
      </c>
      <c r="E73" s="437">
        <v>1.65</v>
      </c>
      <c r="F73" s="437">
        <f>+D73*E73</f>
        <v>61479</v>
      </c>
      <c r="G73" s="437">
        <f>+F73*0.19</f>
        <v>11681.01</v>
      </c>
      <c r="H73" s="656">
        <f>+F73+G73+0.6</f>
        <v>73160.61</v>
      </c>
      <c r="I73" s="430"/>
      <c r="J73" s="430"/>
      <c r="K73" s="435"/>
      <c r="L73" s="437"/>
      <c r="M73" s="438"/>
      <c r="N73" s="431"/>
      <c r="O73" s="433"/>
      <c r="P73" s="431"/>
      <c r="Q73" s="430"/>
    </row>
    <row r="74" spans="1:17" s="429" customFormat="1" hidden="1">
      <c r="A74" s="655">
        <v>43294</v>
      </c>
      <c r="B74" s="430" t="s">
        <v>191</v>
      </c>
      <c r="C74" s="435" t="s">
        <v>182</v>
      </c>
      <c r="D74" s="436">
        <v>35320</v>
      </c>
      <c r="E74" s="437">
        <v>1.65</v>
      </c>
      <c r="F74" s="437">
        <f>+D74*E74</f>
        <v>58278</v>
      </c>
      <c r="G74" s="437">
        <f>+(F74*1.01)*0.19</f>
        <v>11183.548199999999</v>
      </c>
      <c r="H74" s="656">
        <f>F74+G74</f>
        <v>69461.548200000005</v>
      </c>
      <c r="I74" s="430"/>
      <c r="J74" s="430"/>
      <c r="K74" s="435"/>
      <c r="L74" s="437"/>
      <c r="M74" s="438"/>
      <c r="N74" s="431"/>
      <c r="O74" s="433"/>
      <c r="P74" s="431"/>
      <c r="Q74" s="430"/>
    </row>
    <row r="75" spans="1:17" s="429" customFormat="1" hidden="1">
      <c r="A75" s="655">
        <v>43308</v>
      </c>
      <c r="B75" s="430" t="s">
        <v>191</v>
      </c>
      <c r="C75" s="435" t="s">
        <v>182</v>
      </c>
      <c r="D75" s="436">
        <v>37660</v>
      </c>
      <c r="E75" s="437">
        <v>1.65</v>
      </c>
      <c r="F75" s="437">
        <f>+D75*E75</f>
        <v>62139</v>
      </c>
      <c r="G75" s="437">
        <f>+(F75*1.01)*0.19</f>
        <v>11924.474099999999</v>
      </c>
      <c r="H75" s="656">
        <f>F75+G75</f>
        <v>74063.474099999992</v>
      </c>
      <c r="I75" s="430"/>
      <c r="J75" s="430"/>
      <c r="K75" s="435"/>
      <c r="L75" s="437"/>
      <c r="M75" s="438"/>
      <c r="N75" s="431"/>
      <c r="O75" s="433"/>
      <c r="P75" s="431"/>
      <c r="Q75" s="430"/>
    </row>
    <row r="76" spans="1:17" s="429" customFormat="1">
      <c r="A76" s="823">
        <v>43339</v>
      </c>
      <c r="B76" s="824" t="s">
        <v>191</v>
      </c>
      <c r="C76" s="825" t="s">
        <v>227</v>
      </c>
      <c r="D76" s="826">
        <v>38260</v>
      </c>
      <c r="E76" s="827">
        <v>1.7</v>
      </c>
      <c r="F76" s="827">
        <f t="shared" ref="F76" si="13">D76*E76</f>
        <v>65042</v>
      </c>
      <c r="G76" s="827">
        <f>F76*1.01*0.19</f>
        <v>12481.559799999999</v>
      </c>
      <c r="H76" s="828">
        <f>F76*1.01+G76+0.6</f>
        <v>78174.579800000007</v>
      </c>
      <c r="I76" s="430"/>
      <c r="J76" s="430"/>
      <c r="K76" s="435"/>
      <c r="L76" s="437"/>
      <c r="M76" s="438"/>
      <c r="N76" s="431"/>
      <c r="O76" s="433"/>
      <c r="P76" s="431"/>
      <c r="Q76" s="430"/>
    </row>
    <row r="77" spans="1:17" s="429" customFormat="1">
      <c r="A77" s="655">
        <v>43342</v>
      </c>
      <c r="B77" s="430" t="s">
        <v>191</v>
      </c>
      <c r="C77" s="435" t="s">
        <v>182</v>
      </c>
      <c r="D77" s="436">
        <v>37960</v>
      </c>
      <c r="E77" s="437">
        <v>1.7</v>
      </c>
      <c r="F77" s="437">
        <f>+D77*E77</f>
        <v>64532</v>
      </c>
      <c r="G77" s="437">
        <f>+F77*0.19</f>
        <v>12261.08</v>
      </c>
      <c r="H77" s="656">
        <f>+G77+F77+0.6</f>
        <v>76793.680000000008</v>
      </c>
      <c r="I77" s="430"/>
      <c r="J77" s="430"/>
      <c r="K77" s="435"/>
      <c r="L77" s="437"/>
      <c r="M77" s="438"/>
      <c r="N77" s="431"/>
      <c r="O77" s="433"/>
      <c r="P77" s="431"/>
      <c r="Q77" s="430"/>
    </row>
    <row r="78" spans="1:17" s="429" customFormat="1">
      <c r="A78" s="655"/>
      <c r="B78" s="430"/>
      <c r="C78" s="435"/>
      <c r="D78" s="436"/>
      <c r="E78" s="437"/>
      <c r="F78" s="437"/>
      <c r="G78" s="437"/>
      <c r="H78" s="656"/>
      <c r="I78" s="430"/>
      <c r="J78" s="430"/>
      <c r="K78" s="435"/>
      <c r="L78" s="437"/>
      <c r="M78" s="438"/>
      <c r="N78" s="431"/>
      <c r="O78" s="433"/>
      <c r="P78" s="431"/>
      <c r="Q78" s="430"/>
    </row>
    <row r="79" spans="1:17" ht="13.5" thickBot="1">
      <c r="A79" s="682"/>
      <c r="B79" s="683"/>
      <c r="C79" s="683"/>
      <c r="D79" s="683"/>
      <c r="E79" s="683"/>
      <c r="F79" s="683"/>
      <c r="G79" s="683"/>
      <c r="H79" s="684"/>
    </row>
  </sheetData>
  <sortState ref="A14:H32">
    <sortCondition ref="B14:B32"/>
  </sortState>
  <mergeCells count="40">
    <mergeCell ref="D3:E3"/>
    <mergeCell ref="D4:E4"/>
    <mergeCell ref="D5:E5"/>
    <mergeCell ref="D7:E7"/>
    <mergeCell ref="A3:B3"/>
    <mergeCell ref="A4:B4"/>
    <mergeCell ref="A5:B5"/>
    <mergeCell ref="A6:B6"/>
    <mergeCell ref="A1:H1"/>
    <mergeCell ref="A42:H42"/>
    <mergeCell ref="A44:B44"/>
    <mergeCell ref="D44:E44"/>
    <mergeCell ref="A71:G71"/>
    <mergeCell ref="A67:B67"/>
    <mergeCell ref="D67:E67"/>
    <mergeCell ref="A68:B68"/>
    <mergeCell ref="D68:E68"/>
    <mergeCell ref="A69:E69"/>
    <mergeCell ref="A70:G70"/>
    <mergeCell ref="D6:E6"/>
    <mergeCell ref="A65:B65"/>
    <mergeCell ref="D65:E65"/>
    <mergeCell ref="A66:B66"/>
    <mergeCell ref="D66:E66"/>
    <mergeCell ref="A48:E48"/>
    <mergeCell ref="A50:G50"/>
    <mergeCell ref="A63:H63"/>
    <mergeCell ref="A49:G49"/>
    <mergeCell ref="A52:H52"/>
    <mergeCell ref="A46:B46"/>
    <mergeCell ref="D46:E46"/>
    <mergeCell ref="A7:B7"/>
    <mergeCell ref="A9:G9"/>
    <mergeCell ref="A47:B47"/>
    <mergeCell ref="D47:E47"/>
    <mergeCell ref="A45:B45"/>
    <mergeCell ref="D45:E45"/>
    <mergeCell ref="A12:H12"/>
    <mergeCell ref="A8:E8"/>
    <mergeCell ref="A10:G10"/>
  </mergeCells>
  <pageMargins left="0.70866141732283472" right="0.70866141732283472" top="0.39370078740157483" bottom="3.937007874015748E-2" header="0.31496062992125984" footer="0.31496062992125984"/>
  <pageSetup paperSize="9" scale="91" orientation="portrait" horizontalDpi="180" verticalDpi="180" r:id="rId1"/>
  <ignoredErrors>
    <ignoredError sqref="E47 E45 E46" formulaRange="1"/>
    <ignoredError sqref="F76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dimension ref="A1:S9"/>
  <sheetViews>
    <sheetView workbookViewId="0">
      <selection activeCell="M18" sqref="M18"/>
    </sheetView>
  </sheetViews>
  <sheetFormatPr baseColWidth="10" defaultRowHeight="15"/>
  <cols>
    <col min="1" max="1" width="9.140625" style="714" bestFit="1" customWidth="1"/>
    <col min="2" max="2" width="8.7109375" style="714" bestFit="1" customWidth="1"/>
    <col min="3" max="3" width="17" style="714" bestFit="1" customWidth="1"/>
    <col min="4" max="5" width="7.85546875" style="714" bestFit="1" customWidth="1"/>
    <col min="6" max="8" width="8.7109375" style="714" bestFit="1" customWidth="1"/>
    <col min="9" max="9" width="6.5703125" style="714" bestFit="1" customWidth="1"/>
    <col min="10" max="10" width="10.7109375" style="714" bestFit="1" customWidth="1"/>
    <col min="11" max="11" width="7.7109375" style="714" bestFit="1" customWidth="1"/>
    <col min="12" max="12" width="3.42578125" style="714" bestFit="1" customWidth="1"/>
    <col min="13" max="13" width="7.85546875" style="714" bestFit="1" customWidth="1"/>
    <col min="14" max="14" width="4.85546875" style="714" bestFit="1" customWidth="1"/>
    <col min="15" max="17" width="8.7109375" style="714" bestFit="1" customWidth="1"/>
    <col min="18" max="18" width="11" style="714" bestFit="1" customWidth="1"/>
    <col min="19" max="19" width="10" style="714" bestFit="1" customWidth="1"/>
    <col min="20" max="16384" width="11.42578125" style="714"/>
  </cols>
  <sheetData>
    <row r="1" spans="1:19" ht="15.75" thickBot="1">
      <c r="A1" s="923" t="s">
        <v>310</v>
      </c>
      <c r="B1" s="924"/>
      <c r="C1" s="924"/>
      <c r="D1" s="924"/>
      <c r="E1" s="924"/>
      <c r="F1" s="924"/>
      <c r="G1" s="924"/>
      <c r="H1" s="925"/>
      <c r="J1" s="923" t="s">
        <v>311</v>
      </c>
      <c r="K1" s="924"/>
      <c r="L1" s="924"/>
      <c r="M1" s="924"/>
      <c r="N1" s="924"/>
      <c r="O1" s="924"/>
      <c r="P1" s="924"/>
      <c r="Q1" s="925"/>
      <c r="R1" s="716" t="s">
        <v>312</v>
      </c>
      <c r="S1" s="717" t="s">
        <v>313</v>
      </c>
    </row>
    <row r="2" spans="1:19" ht="15.75" thickBot="1">
      <c r="A2" s="746">
        <v>43166</v>
      </c>
      <c r="B2" s="479" t="s">
        <v>267</v>
      </c>
      <c r="C2" s="747" t="s">
        <v>182</v>
      </c>
      <c r="D2" s="480">
        <v>10000</v>
      </c>
      <c r="E2" s="481">
        <v>1.45</v>
      </c>
      <c r="F2" s="481">
        <v>10000</v>
      </c>
      <c r="G2" s="481">
        <f t="shared" ref="G2" si="0">+F2*0.19</f>
        <v>1900</v>
      </c>
      <c r="H2" s="748">
        <f t="shared" ref="H2" si="1">+G2+F2</f>
        <v>11900</v>
      </c>
      <c r="J2" s="746" t="s">
        <v>124</v>
      </c>
      <c r="K2" s="479" t="s">
        <v>267</v>
      </c>
      <c r="L2" s="747" t="s">
        <v>182</v>
      </c>
      <c r="M2" s="480">
        <v>35500</v>
      </c>
      <c r="N2" s="481">
        <v>1.45</v>
      </c>
      <c r="O2" s="481">
        <f>+M2*N2</f>
        <v>51475</v>
      </c>
      <c r="P2" s="481">
        <f t="shared" ref="P2" si="2">+O2*0.19</f>
        <v>9780.25</v>
      </c>
      <c r="Q2" s="748">
        <f>+P2+O2+0.6</f>
        <v>61255.85</v>
      </c>
      <c r="R2" s="790">
        <f>+F2+P2+0.6</f>
        <v>19780.849999999999</v>
      </c>
      <c r="S2" s="791">
        <f>+Q2-R2</f>
        <v>41475</v>
      </c>
    </row>
    <row r="3" spans="1:19" ht="15.75" thickBot="1"/>
    <row r="4" spans="1:19">
      <c r="A4" s="718">
        <v>43095</v>
      </c>
      <c r="B4" s="719" t="s">
        <v>228</v>
      </c>
      <c r="C4" s="720" t="s">
        <v>191</v>
      </c>
      <c r="D4" s="721" t="s">
        <v>227</v>
      </c>
      <c r="E4" s="722">
        <v>36100</v>
      </c>
      <c r="F4" s="723">
        <v>1.45</v>
      </c>
      <c r="G4" s="723">
        <f t="shared" ref="G4:G5" si="3">F4*E4</f>
        <v>52345</v>
      </c>
      <c r="H4" s="723">
        <f t="shared" ref="H4:H5" si="4">G4*0.18</f>
        <v>9422.1</v>
      </c>
      <c r="I4" s="723">
        <f t="shared" ref="I4:I5" si="5">(G4+H4)*1%</f>
        <v>617.67100000000005</v>
      </c>
      <c r="J4" s="724">
        <f t="shared" ref="J4" si="6">I4+H4+G4+0.5</f>
        <v>62385.271000000001</v>
      </c>
    </row>
    <row r="5" spans="1:19">
      <c r="A5" s="725">
        <v>43098</v>
      </c>
      <c r="B5" s="726" t="s">
        <v>228</v>
      </c>
      <c r="C5" s="727" t="s">
        <v>191</v>
      </c>
      <c r="D5" s="728" t="s">
        <v>227</v>
      </c>
      <c r="E5" s="729">
        <v>34540</v>
      </c>
      <c r="F5" s="730">
        <v>1.45</v>
      </c>
      <c r="G5" s="730">
        <f t="shared" si="3"/>
        <v>50083</v>
      </c>
      <c r="H5" s="730">
        <f t="shared" si="4"/>
        <v>9014.94</v>
      </c>
      <c r="I5" s="730">
        <f t="shared" si="5"/>
        <v>590.97940000000006</v>
      </c>
      <c r="J5" s="731">
        <f>I5+H5+G5+0.5</f>
        <v>59689.419399999999</v>
      </c>
    </row>
    <row r="6" spans="1:19">
      <c r="A6" s="732"/>
      <c r="B6" s="733"/>
      <c r="C6" s="733"/>
      <c r="D6" s="733"/>
      <c r="E6" s="733"/>
      <c r="F6" s="733"/>
      <c r="G6" s="733"/>
      <c r="H6" s="733"/>
      <c r="I6" s="733"/>
      <c r="J6" s="734">
        <v>-42385.785000000003</v>
      </c>
    </row>
    <row r="7" spans="1:19" ht="15.75" thickBot="1">
      <c r="A7" s="926" t="s">
        <v>313</v>
      </c>
      <c r="B7" s="927"/>
      <c r="C7" s="927"/>
      <c r="D7" s="927"/>
      <c r="E7" s="927"/>
      <c r="F7" s="927"/>
      <c r="G7" s="927"/>
      <c r="H7" s="927"/>
      <c r="I7" s="927"/>
      <c r="J7" s="735">
        <f>SUM(J4:J6)</f>
        <v>79688.905399999989</v>
      </c>
    </row>
    <row r="8" spans="1:19">
      <c r="J8" s="715"/>
    </row>
    <row r="9" spans="1:19">
      <c r="J9" s="715"/>
    </row>
  </sheetData>
  <mergeCells count="3">
    <mergeCell ref="A1:H1"/>
    <mergeCell ref="J1:Q1"/>
    <mergeCell ref="A7:I7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K1152"/>
  <sheetViews>
    <sheetView topLeftCell="A58" workbookViewId="0">
      <selection activeCell="I85" sqref="I85"/>
    </sheetView>
  </sheetViews>
  <sheetFormatPr baseColWidth="10" defaultRowHeight="15"/>
  <cols>
    <col min="1" max="1" width="8.140625" style="488" bestFit="1" customWidth="1"/>
    <col min="2" max="2" width="33.5703125" style="488" bestFit="1" customWidth="1"/>
    <col min="3" max="3" width="8" style="488" bestFit="1" customWidth="1"/>
    <col min="4" max="4" width="8.5703125" style="488" bestFit="1" customWidth="1"/>
    <col min="5" max="5" width="10.7109375" style="488" bestFit="1" customWidth="1"/>
    <col min="6" max="6" width="10" style="46" bestFit="1" customWidth="1"/>
    <col min="7" max="7" width="8" style="488" bestFit="1" customWidth="1"/>
    <col min="8" max="8" width="8.140625" style="488" bestFit="1" customWidth="1"/>
    <col min="9" max="9" width="34.42578125" style="488" bestFit="1" customWidth="1"/>
    <col min="10" max="10" width="10.7109375" style="488" bestFit="1" customWidth="1"/>
    <col min="11" max="11" width="10" style="488" bestFit="1" customWidth="1"/>
    <col min="12" max="16384" width="11.42578125" style="488"/>
  </cols>
  <sheetData>
    <row r="1" spans="1:6" s="103" customFormat="1">
      <c r="A1" s="103" t="s">
        <v>318</v>
      </c>
      <c r="B1" s="103" t="s">
        <v>319</v>
      </c>
      <c r="C1" s="940" t="s">
        <v>100</v>
      </c>
      <c r="D1" s="103" t="s">
        <v>2455</v>
      </c>
      <c r="E1" s="103" t="s">
        <v>2456</v>
      </c>
      <c r="F1" s="941" t="s">
        <v>2457</v>
      </c>
    </row>
    <row r="2" spans="1:6">
      <c r="A2" s="488" t="s">
        <v>2458</v>
      </c>
      <c r="B2" s="488" t="s">
        <v>2459</v>
      </c>
      <c r="C2" s="757" t="s">
        <v>2460</v>
      </c>
      <c r="D2" s="488" t="s">
        <v>2461</v>
      </c>
      <c r="E2" s="101">
        <v>43342</v>
      </c>
      <c r="F2" s="46">
        <v>376.64</v>
      </c>
    </row>
    <row r="3" spans="1:6">
      <c r="A3" s="488" t="s">
        <v>616</v>
      </c>
      <c r="B3" s="488" t="s">
        <v>617</v>
      </c>
      <c r="C3" s="757" t="s">
        <v>1448</v>
      </c>
      <c r="D3" s="488" t="s">
        <v>2462</v>
      </c>
      <c r="E3" s="101">
        <v>43343</v>
      </c>
      <c r="F3" s="46">
        <v>964.35</v>
      </c>
    </row>
    <row r="4" spans="1:6">
      <c r="A4" s="488" t="s">
        <v>429</v>
      </c>
      <c r="B4" s="488" t="s">
        <v>430</v>
      </c>
      <c r="C4" s="757" t="s">
        <v>1458</v>
      </c>
      <c r="D4" s="488" t="s">
        <v>2462</v>
      </c>
      <c r="E4" s="101">
        <v>43350</v>
      </c>
      <c r="F4" s="46">
        <v>920</v>
      </c>
    </row>
    <row r="5" spans="1:6">
      <c r="A5" s="488" t="s">
        <v>704</v>
      </c>
      <c r="B5" s="488" t="s">
        <v>705</v>
      </c>
      <c r="C5" s="757" t="s">
        <v>1459</v>
      </c>
      <c r="D5" s="488" t="s">
        <v>2463</v>
      </c>
      <c r="E5" s="101">
        <v>43350</v>
      </c>
      <c r="F5" s="46">
        <v>1726.55</v>
      </c>
    </row>
    <row r="6" spans="1:6">
      <c r="A6" s="488" t="s">
        <v>706</v>
      </c>
      <c r="B6" s="488" t="s">
        <v>707</v>
      </c>
      <c r="C6" s="757" t="s">
        <v>1460</v>
      </c>
      <c r="D6" s="488" t="s">
        <v>2464</v>
      </c>
      <c r="E6" s="101">
        <v>43350</v>
      </c>
      <c r="F6" s="46">
        <v>976.71</v>
      </c>
    </row>
    <row r="7" spans="1:6">
      <c r="A7" s="488" t="s">
        <v>708</v>
      </c>
      <c r="B7" s="488" t="s">
        <v>709</v>
      </c>
      <c r="C7" s="757" t="s">
        <v>1461</v>
      </c>
      <c r="D7" s="488" t="s">
        <v>2465</v>
      </c>
      <c r="E7" s="101">
        <v>43350</v>
      </c>
      <c r="F7" s="46">
        <v>1582.57</v>
      </c>
    </row>
    <row r="8" spans="1:6">
      <c r="A8" s="488" t="s">
        <v>418</v>
      </c>
      <c r="B8" s="488" t="s">
        <v>419</v>
      </c>
      <c r="C8" s="757" t="s">
        <v>1462</v>
      </c>
      <c r="D8" s="488" t="s">
        <v>2466</v>
      </c>
      <c r="E8" s="101">
        <v>43350</v>
      </c>
      <c r="F8" s="46">
        <v>1000</v>
      </c>
    </row>
    <row r="9" spans="1:6">
      <c r="A9" s="488" t="s">
        <v>499</v>
      </c>
      <c r="B9" s="488" t="s">
        <v>500</v>
      </c>
      <c r="C9" s="757" t="s">
        <v>1463</v>
      </c>
      <c r="D9" s="488" t="s">
        <v>2467</v>
      </c>
      <c r="E9" s="101">
        <v>43350</v>
      </c>
      <c r="F9" s="46">
        <v>694.76</v>
      </c>
    </row>
    <row r="10" spans="1:6">
      <c r="A10" s="488" t="s">
        <v>510</v>
      </c>
      <c r="B10" s="488" t="s">
        <v>511</v>
      </c>
      <c r="C10" s="757" t="s">
        <v>1464</v>
      </c>
      <c r="D10" s="488" t="s">
        <v>2467</v>
      </c>
      <c r="E10" s="101">
        <v>43350</v>
      </c>
      <c r="F10" s="46">
        <v>2148.29</v>
      </c>
    </row>
    <row r="11" spans="1:6">
      <c r="A11" s="488" t="s">
        <v>710</v>
      </c>
      <c r="B11" s="488" t="s">
        <v>711</v>
      </c>
      <c r="C11" s="757" t="s">
        <v>1465</v>
      </c>
      <c r="D11" s="488" t="s">
        <v>2463</v>
      </c>
      <c r="E11" s="101">
        <v>43350</v>
      </c>
      <c r="F11" s="46">
        <v>1006.04</v>
      </c>
    </row>
    <row r="12" spans="1:6">
      <c r="A12" s="488" t="s">
        <v>712</v>
      </c>
      <c r="B12" s="488" t="s">
        <v>713</v>
      </c>
      <c r="C12" s="757" t="s">
        <v>1466</v>
      </c>
      <c r="D12" s="488" t="s">
        <v>2468</v>
      </c>
      <c r="E12" s="101">
        <v>43350</v>
      </c>
      <c r="F12" s="46">
        <v>7536.06</v>
      </c>
    </row>
    <row r="13" spans="1:6">
      <c r="A13" s="488" t="s">
        <v>324</v>
      </c>
      <c r="B13" s="488" t="s">
        <v>325</v>
      </c>
      <c r="C13" s="757" t="s">
        <v>1467</v>
      </c>
      <c r="D13" s="488" t="s">
        <v>2469</v>
      </c>
      <c r="E13" s="101">
        <v>43351</v>
      </c>
      <c r="F13" s="46">
        <v>653.46</v>
      </c>
    </row>
    <row r="14" spans="1:6">
      <c r="A14" s="488" t="s">
        <v>468</v>
      </c>
      <c r="B14" s="488" t="s">
        <v>469</v>
      </c>
      <c r="C14" s="757" t="s">
        <v>1468</v>
      </c>
      <c r="D14" s="488" t="s">
        <v>103</v>
      </c>
      <c r="E14" s="101">
        <v>43351</v>
      </c>
      <c r="F14" s="46">
        <v>2000</v>
      </c>
    </row>
    <row r="15" spans="1:6">
      <c r="A15" s="488" t="s">
        <v>470</v>
      </c>
      <c r="B15" s="488" t="s">
        <v>471</v>
      </c>
      <c r="C15" s="757" t="s">
        <v>1469</v>
      </c>
      <c r="D15" s="488" t="s">
        <v>2470</v>
      </c>
      <c r="E15" s="101">
        <v>43351</v>
      </c>
      <c r="F15" s="46">
        <v>5069.12</v>
      </c>
    </row>
    <row r="16" spans="1:6">
      <c r="A16" s="488" t="s">
        <v>528</v>
      </c>
      <c r="B16" s="488" t="s">
        <v>529</v>
      </c>
      <c r="C16" s="757" t="s">
        <v>1470</v>
      </c>
      <c r="D16" s="488" t="s">
        <v>2471</v>
      </c>
      <c r="E16" s="101">
        <v>43351</v>
      </c>
      <c r="F16" s="46">
        <v>1256</v>
      </c>
    </row>
    <row r="17" spans="1:6">
      <c r="A17" s="488" t="s">
        <v>433</v>
      </c>
      <c r="B17" s="488" t="s">
        <v>434</v>
      </c>
      <c r="C17" s="757" t="s">
        <v>1471</v>
      </c>
      <c r="D17" s="488" t="s">
        <v>2462</v>
      </c>
      <c r="E17" s="101">
        <v>43351</v>
      </c>
      <c r="F17" s="46">
        <v>859.78</v>
      </c>
    </row>
    <row r="18" spans="1:6">
      <c r="A18" s="488" t="s">
        <v>714</v>
      </c>
      <c r="B18" s="488" t="s">
        <v>715</v>
      </c>
      <c r="C18" s="757" t="s">
        <v>1472</v>
      </c>
      <c r="D18" s="488" t="s">
        <v>2471</v>
      </c>
      <c r="E18" s="101">
        <v>43351</v>
      </c>
      <c r="F18" s="46">
        <v>1983.19</v>
      </c>
    </row>
    <row r="19" spans="1:6">
      <c r="A19" s="488" t="s">
        <v>416</v>
      </c>
      <c r="B19" s="488" t="s">
        <v>417</v>
      </c>
      <c r="C19" s="757" t="s">
        <v>1473</v>
      </c>
      <c r="D19" s="488" t="s">
        <v>2468</v>
      </c>
      <c r="E19" s="101">
        <v>43351</v>
      </c>
      <c r="F19" s="46">
        <v>1269.1600000000001</v>
      </c>
    </row>
    <row r="20" spans="1:6">
      <c r="A20" s="488" t="s">
        <v>340</v>
      </c>
      <c r="B20" s="488" t="s">
        <v>341</v>
      </c>
      <c r="C20" s="757" t="s">
        <v>1475</v>
      </c>
      <c r="D20" s="488" t="s">
        <v>2468</v>
      </c>
      <c r="E20" s="101">
        <v>43351</v>
      </c>
      <c r="F20" s="46">
        <v>384.8</v>
      </c>
    </row>
    <row r="21" spans="1:6">
      <c r="A21" s="488" t="s">
        <v>700</v>
      </c>
      <c r="B21" s="488" t="s">
        <v>701</v>
      </c>
      <c r="C21" s="757" t="s">
        <v>1476</v>
      </c>
      <c r="D21" s="488" t="s">
        <v>103</v>
      </c>
      <c r="E21" s="101">
        <v>43351</v>
      </c>
      <c r="F21" s="46">
        <v>400</v>
      </c>
    </row>
    <row r="22" spans="1:6">
      <c r="A22" s="488" t="s">
        <v>457</v>
      </c>
      <c r="B22" s="488" t="s">
        <v>458</v>
      </c>
      <c r="C22" s="757" t="s">
        <v>1474</v>
      </c>
      <c r="D22" s="488" t="s">
        <v>2472</v>
      </c>
      <c r="E22" s="101">
        <v>43351</v>
      </c>
      <c r="F22" s="46">
        <v>2380</v>
      </c>
    </row>
    <row r="23" spans="1:6">
      <c r="A23" s="488" t="s">
        <v>2473</v>
      </c>
      <c r="B23" s="488" t="s">
        <v>2474</v>
      </c>
      <c r="C23" s="757" t="s">
        <v>2475</v>
      </c>
      <c r="D23" s="488" t="s">
        <v>103</v>
      </c>
      <c r="E23" s="101">
        <v>43351</v>
      </c>
      <c r="F23" s="46">
        <v>1345.66</v>
      </c>
    </row>
    <row r="24" spans="1:6">
      <c r="A24" s="488" t="s">
        <v>336</v>
      </c>
      <c r="B24" s="488" t="s">
        <v>337</v>
      </c>
      <c r="C24" s="757" t="s">
        <v>1477</v>
      </c>
      <c r="D24" s="488" t="s">
        <v>2467</v>
      </c>
      <c r="E24" s="101">
        <v>43352</v>
      </c>
      <c r="F24" s="46">
        <v>670</v>
      </c>
    </row>
    <row r="25" spans="1:6">
      <c r="A25" s="488" t="s">
        <v>338</v>
      </c>
      <c r="B25" s="488" t="s">
        <v>339</v>
      </c>
      <c r="C25" s="757" t="s">
        <v>1478</v>
      </c>
      <c r="D25" s="488" t="s">
        <v>2476</v>
      </c>
      <c r="E25" s="101">
        <v>43352</v>
      </c>
      <c r="F25" s="46">
        <v>919</v>
      </c>
    </row>
    <row r="26" spans="1:6">
      <c r="A26" s="488" t="s">
        <v>1479</v>
      </c>
      <c r="B26" s="488" t="s">
        <v>331</v>
      </c>
      <c r="C26" s="757" t="s">
        <v>1480</v>
      </c>
      <c r="D26" s="488" t="s">
        <v>2467</v>
      </c>
      <c r="E26" s="101">
        <v>43352</v>
      </c>
      <c r="F26" s="46">
        <v>1638</v>
      </c>
    </row>
    <row r="27" spans="1:6">
      <c r="A27" s="488" t="s">
        <v>503</v>
      </c>
      <c r="B27" s="488" t="s">
        <v>504</v>
      </c>
      <c r="C27" s="757" t="s">
        <v>1481</v>
      </c>
      <c r="D27" s="488" t="s">
        <v>2471</v>
      </c>
      <c r="E27" s="101">
        <v>43352</v>
      </c>
      <c r="F27" s="46">
        <v>1041.1400000000001</v>
      </c>
    </row>
    <row r="28" spans="1:6">
      <c r="A28" s="488" t="s">
        <v>716</v>
      </c>
      <c r="B28" s="488" t="s">
        <v>717</v>
      </c>
      <c r="C28" s="757" t="s">
        <v>1482</v>
      </c>
      <c r="D28" s="488" t="s">
        <v>2464</v>
      </c>
      <c r="E28" s="101">
        <v>43352</v>
      </c>
      <c r="F28" s="46">
        <v>825.87</v>
      </c>
    </row>
    <row r="29" spans="1:6">
      <c r="A29" s="488" t="s">
        <v>420</v>
      </c>
      <c r="B29" s="488" t="s">
        <v>421</v>
      </c>
      <c r="C29" s="757" t="s">
        <v>1483</v>
      </c>
      <c r="D29" s="488" t="s">
        <v>2468</v>
      </c>
      <c r="E29" s="101">
        <v>43352</v>
      </c>
      <c r="F29" s="46">
        <v>2500</v>
      </c>
    </row>
    <row r="30" spans="1:6">
      <c r="A30" s="488" t="s">
        <v>730</v>
      </c>
      <c r="B30" s="488" t="s">
        <v>731</v>
      </c>
      <c r="C30" s="757" t="s">
        <v>1484</v>
      </c>
      <c r="D30" s="488" t="s">
        <v>2477</v>
      </c>
      <c r="E30" s="101">
        <v>43353</v>
      </c>
      <c r="F30" s="46">
        <v>727.93</v>
      </c>
    </row>
    <row r="31" spans="1:6">
      <c r="A31" s="488" t="s">
        <v>399</v>
      </c>
      <c r="B31" s="488" t="s">
        <v>400</v>
      </c>
      <c r="C31" s="757" t="s">
        <v>1485</v>
      </c>
      <c r="D31" s="488" t="s">
        <v>2466</v>
      </c>
      <c r="E31" s="101">
        <v>43353</v>
      </c>
      <c r="F31" s="46">
        <v>403.62</v>
      </c>
    </row>
    <row r="32" spans="1:6">
      <c r="A32" s="488" t="s">
        <v>732</v>
      </c>
      <c r="B32" s="488" t="s">
        <v>733</v>
      </c>
      <c r="C32" s="757" t="s">
        <v>1486</v>
      </c>
      <c r="D32" s="488" t="s">
        <v>2467</v>
      </c>
      <c r="E32" s="101">
        <v>43353</v>
      </c>
      <c r="F32" s="46">
        <v>339</v>
      </c>
    </row>
    <row r="33" spans="1:6">
      <c r="A33" s="488" t="s">
        <v>734</v>
      </c>
      <c r="B33" s="488" t="s">
        <v>735</v>
      </c>
      <c r="C33" s="757" t="s">
        <v>1487</v>
      </c>
      <c r="D33" s="488" t="s">
        <v>2478</v>
      </c>
      <c r="E33" s="101">
        <v>43353</v>
      </c>
      <c r="F33" s="46">
        <v>4189.46</v>
      </c>
    </row>
    <row r="34" spans="1:6">
      <c r="A34" s="488" t="s">
        <v>448</v>
      </c>
      <c r="B34" s="488" t="s">
        <v>449</v>
      </c>
      <c r="C34" s="757" t="s">
        <v>1488</v>
      </c>
      <c r="D34" s="488" t="s">
        <v>2468</v>
      </c>
      <c r="E34" s="101">
        <v>43353</v>
      </c>
      <c r="F34" s="46">
        <v>3763.07</v>
      </c>
    </row>
    <row r="35" spans="1:6">
      <c r="A35" s="488" t="s">
        <v>722</v>
      </c>
      <c r="B35" s="488" t="s">
        <v>723</v>
      </c>
      <c r="C35" s="757" t="s">
        <v>1489</v>
      </c>
      <c r="D35" s="488" t="s">
        <v>2479</v>
      </c>
      <c r="E35" s="101">
        <v>43353</v>
      </c>
      <c r="F35" s="46">
        <v>1122.6199999999999</v>
      </c>
    </row>
    <row r="36" spans="1:6">
      <c r="A36" s="488" t="s">
        <v>1433</v>
      </c>
      <c r="B36" s="488" t="s">
        <v>1434</v>
      </c>
      <c r="C36" s="757" t="s">
        <v>1523</v>
      </c>
      <c r="D36" s="488" t="s">
        <v>2468</v>
      </c>
      <c r="E36" s="101">
        <v>43353</v>
      </c>
      <c r="F36" s="46">
        <v>698.95</v>
      </c>
    </row>
    <row r="37" spans="1:6">
      <c r="A37" s="488" t="s">
        <v>736</v>
      </c>
      <c r="B37" s="488" t="s">
        <v>737</v>
      </c>
      <c r="C37" s="757" t="s">
        <v>1490</v>
      </c>
      <c r="D37" s="488" t="s">
        <v>103</v>
      </c>
      <c r="E37" s="101">
        <v>43353</v>
      </c>
      <c r="F37" s="46">
        <v>1126.67</v>
      </c>
    </row>
    <row r="38" spans="1:6">
      <c r="A38" s="488" t="s">
        <v>403</v>
      </c>
      <c r="B38" s="488" t="s">
        <v>404</v>
      </c>
      <c r="C38" s="757" t="s">
        <v>1491</v>
      </c>
      <c r="D38" s="488" t="s">
        <v>2478</v>
      </c>
      <c r="E38" s="101">
        <v>43353</v>
      </c>
      <c r="F38" s="46">
        <v>1410.37</v>
      </c>
    </row>
    <row r="39" spans="1:6">
      <c r="A39" s="488" t="s">
        <v>738</v>
      </c>
      <c r="B39" s="488" t="s">
        <v>739</v>
      </c>
      <c r="C39" s="757" t="s">
        <v>1492</v>
      </c>
      <c r="D39" s="488" t="s">
        <v>103</v>
      </c>
      <c r="E39" s="101">
        <v>43353</v>
      </c>
      <c r="F39" s="46">
        <v>2660.61</v>
      </c>
    </row>
    <row r="40" spans="1:6">
      <c r="A40" s="488" t="s">
        <v>461</v>
      </c>
      <c r="B40" s="488" t="s">
        <v>462</v>
      </c>
      <c r="C40" s="757" t="s">
        <v>1493</v>
      </c>
      <c r="D40" s="488" t="s">
        <v>2468</v>
      </c>
      <c r="E40" s="101">
        <v>43353</v>
      </c>
      <c r="F40" s="46">
        <v>892.61</v>
      </c>
    </row>
    <row r="41" spans="1:6">
      <c r="A41" s="488" t="s">
        <v>409</v>
      </c>
      <c r="B41" s="488" t="s">
        <v>410</v>
      </c>
      <c r="C41" s="757" t="s">
        <v>1494</v>
      </c>
      <c r="D41" s="488" t="s">
        <v>2468</v>
      </c>
      <c r="E41" s="101">
        <v>43353</v>
      </c>
      <c r="F41" s="46">
        <v>545</v>
      </c>
    </row>
    <row r="42" spans="1:6">
      <c r="A42" s="488" t="s">
        <v>332</v>
      </c>
      <c r="B42" s="488" t="s">
        <v>333</v>
      </c>
      <c r="C42" s="757" t="s">
        <v>1495</v>
      </c>
      <c r="D42" s="488" t="s">
        <v>2466</v>
      </c>
      <c r="E42" s="101">
        <v>43353</v>
      </c>
      <c r="F42" s="46">
        <v>1443.29</v>
      </c>
    </row>
    <row r="43" spans="1:6">
      <c r="A43" s="488" t="s">
        <v>740</v>
      </c>
      <c r="B43" s="488" t="s">
        <v>741</v>
      </c>
      <c r="C43" s="757" t="s">
        <v>1496</v>
      </c>
      <c r="D43" s="488" t="s">
        <v>2480</v>
      </c>
      <c r="E43" s="101">
        <v>43353</v>
      </c>
      <c r="F43" s="46">
        <v>1441.3</v>
      </c>
    </row>
    <row r="44" spans="1:6">
      <c r="A44" s="488" t="s">
        <v>465</v>
      </c>
      <c r="B44" s="488" t="s">
        <v>2481</v>
      </c>
      <c r="C44" s="757" t="s">
        <v>1522</v>
      </c>
      <c r="D44" s="488" t="s">
        <v>2463</v>
      </c>
      <c r="E44" s="101">
        <v>43353</v>
      </c>
      <c r="F44" s="46">
        <v>390.16</v>
      </c>
    </row>
    <row r="45" spans="1:6">
      <c r="A45" s="488" t="s">
        <v>2482</v>
      </c>
      <c r="B45" s="488" t="s">
        <v>2483</v>
      </c>
      <c r="C45" s="757" t="s">
        <v>2484</v>
      </c>
      <c r="D45" s="488" t="s">
        <v>2485</v>
      </c>
      <c r="E45" s="101">
        <v>43353</v>
      </c>
      <c r="F45" s="46">
        <v>986.46</v>
      </c>
    </row>
    <row r="46" spans="1:6">
      <c r="A46" s="488" t="s">
        <v>718</v>
      </c>
      <c r="B46" s="488" t="s">
        <v>719</v>
      </c>
      <c r="C46" s="757" t="s">
        <v>1497</v>
      </c>
      <c r="D46" s="488" t="s">
        <v>2486</v>
      </c>
      <c r="E46" s="101">
        <v>43353</v>
      </c>
      <c r="F46" s="46">
        <v>2640.08</v>
      </c>
    </row>
    <row r="47" spans="1:6">
      <c r="A47" s="488" t="s">
        <v>411</v>
      </c>
      <c r="B47" s="488" t="s">
        <v>412</v>
      </c>
      <c r="C47" s="757" t="s">
        <v>1498</v>
      </c>
      <c r="D47" s="488" t="s">
        <v>2465</v>
      </c>
      <c r="E47" s="101">
        <v>43353</v>
      </c>
      <c r="F47" s="46">
        <v>439</v>
      </c>
    </row>
    <row r="48" spans="1:6">
      <c r="A48" s="488" t="s">
        <v>358</v>
      </c>
      <c r="B48" s="488" t="s">
        <v>359</v>
      </c>
      <c r="C48" s="757" t="s">
        <v>1517</v>
      </c>
      <c r="D48" s="488" t="s">
        <v>103</v>
      </c>
      <c r="E48" s="101">
        <v>43353</v>
      </c>
      <c r="F48" s="46">
        <v>400</v>
      </c>
    </row>
    <row r="49" spans="1:6">
      <c r="A49" s="488" t="s">
        <v>528</v>
      </c>
      <c r="B49" s="488" t="s">
        <v>529</v>
      </c>
      <c r="C49" s="757" t="s">
        <v>1499</v>
      </c>
      <c r="D49" s="488" t="s">
        <v>2471</v>
      </c>
      <c r="E49" s="101">
        <v>43353</v>
      </c>
      <c r="F49" s="46">
        <v>1250</v>
      </c>
    </row>
    <row r="50" spans="1:6">
      <c r="A50" s="488" t="s">
        <v>513</v>
      </c>
      <c r="B50" s="488" t="s">
        <v>514</v>
      </c>
      <c r="C50" s="757" t="s">
        <v>1500</v>
      </c>
      <c r="D50" s="488" t="s">
        <v>2487</v>
      </c>
      <c r="E50" s="101">
        <v>43353</v>
      </c>
      <c r="F50" s="46">
        <v>972.15</v>
      </c>
    </row>
    <row r="51" spans="1:6">
      <c r="A51" s="488" t="s">
        <v>328</v>
      </c>
      <c r="B51" s="488" t="s">
        <v>329</v>
      </c>
      <c r="C51" s="757" t="s">
        <v>1501</v>
      </c>
      <c r="D51" s="488" t="s">
        <v>2488</v>
      </c>
      <c r="E51" s="101">
        <v>43353</v>
      </c>
      <c r="F51" s="46">
        <v>2083.77</v>
      </c>
    </row>
    <row r="52" spans="1:6">
      <c r="A52" s="488" t="s">
        <v>435</v>
      </c>
      <c r="B52" s="488" t="s">
        <v>436</v>
      </c>
      <c r="C52" s="757" t="s">
        <v>1502</v>
      </c>
      <c r="D52" s="488" t="s">
        <v>2465</v>
      </c>
      <c r="E52" s="101">
        <v>43353</v>
      </c>
      <c r="F52" s="46">
        <v>1115.8599999999999</v>
      </c>
    </row>
    <row r="53" spans="1:6">
      <c r="A53" s="488" t="s">
        <v>720</v>
      </c>
      <c r="B53" s="488" t="s">
        <v>629</v>
      </c>
      <c r="C53" s="757" t="s">
        <v>1503</v>
      </c>
      <c r="D53" s="488" t="s">
        <v>2489</v>
      </c>
      <c r="E53" s="101">
        <v>43353</v>
      </c>
      <c r="F53" s="46">
        <v>1636.03</v>
      </c>
    </row>
    <row r="54" spans="1:6">
      <c r="A54" s="488" t="s">
        <v>472</v>
      </c>
      <c r="B54" s="488" t="s">
        <v>473</v>
      </c>
      <c r="C54" s="757" t="s">
        <v>1504</v>
      </c>
      <c r="D54" s="488" t="s">
        <v>2465</v>
      </c>
      <c r="E54" s="101">
        <v>43353</v>
      </c>
      <c r="F54" s="46">
        <v>2000</v>
      </c>
    </row>
    <row r="55" spans="1:6">
      <c r="A55" s="488" t="s">
        <v>2490</v>
      </c>
      <c r="B55" s="488" t="s">
        <v>554</v>
      </c>
      <c r="C55" s="757" t="s">
        <v>2491</v>
      </c>
      <c r="D55" s="488" t="s">
        <v>2468</v>
      </c>
      <c r="E55" s="101">
        <v>43353</v>
      </c>
      <c r="F55" s="46">
        <v>820.21</v>
      </c>
    </row>
    <row r="56" spans="1:6">
      <c r="A56" s="488" t="s">
        <v>340</v>
      </c>
      <c r="B56" s="488" t="s">
        <v>341</v>
      </c>
      <c r="C56" s="757" t="s">
        <v>1505</v>
      </c>
      <c r="D56" s="488" t="s">
        <v>2468</v>
      </c>
      <c r="E56" s="101">
        <v>43353</v>
      </c>
      <c r="F56" s="46">
        <v>420</v>
      </c>
    </row>
    <row r="57" spans="1:6">
      <c r="A57" s="488" t="s">
        <v>442</v>
      </c>
      <c r="B57" s="488" t="s">
        <v>443</v>
      </c>
      <c r="C57" s="757" t="s">
        <v>1506</v>
      </c>
      <c r="D57" s="488" t="s">
        <v>2472</v>
      </c>
      <c r="E57" s="101">
        <v>43353</v>
      </c>
      <c r="F57" s="46">
        <v>655</v>
      </c>
    </row>
    <row r="58" spans="1:6">
      <c r="A58" s="488" t="s">
        <v>721</v>
      </c>
      <c r="B58" s="488" t="s">
        <v>652</v>
      </c>
      <c r="C58" s="757" t="s">
        <v>1507</v>
      </c>
      <c r="D58" s="488" t="s">
        <v>2467</v>
      </c>
      <c r="E58" s="101">
        <v>43353</v>
      </c>
      <c r="F58" s="46">
        <v>1342.41</v>
      </c>
    </row>
    <row r="59" spans="1:6">
      <c r="A59" s="488" t="s">
        <v>444</v>
      </c>
      <c r="B59" s="488" t="s">
        <v>445</v>
      </c>
      <c r="C59" s="757" t="s">
        <v>1508</v>
      </c>
      <c r="D59" s="488" t="s">
        <v>2467</v>
      </c>
      <c r="E59" s="101">
        <v>43353</v>
      </c>
      <c r="F59" s="46">
        <v>2063.41</v>
      </c>
    </row>
    <row r="60" spans="1:6">
      <c r="A60" s="488" t="s">
        <v>446</v>
      </c>
      <c r="B60" s="488" t="s">
        <v>447</v>
      </c>
      <c r="C60" s="757" t="s">
        <v>1509</v>
      </c>
      <c r="D60" s="488" t="s">
        <v>2472</v>
      </c>
      <c r="E60" s="101">
        <v>43353</v>
      </c>
      <c r="F60" s="46">
        <v>300</v>
      </c>
    </row>
    <row r="61" spans="1:6">
      <c r="A61" s="488" t="s">
        <v>344</v>
      </c>
      <c r="B61" s="488" t="s">
        <v>345</v>
      </c>
      <c r="C61" s="757" t="s">
        <v>1521</v>
      </c>
      <c r="D61" s="488" t="s">
        <v>103</v>
      </c>
      <c r="E61" s="101">
        <v>43353</v>
      </c>
      <c r="F61" s="46">
        <v>210</v>
      </c>
    </row>
    <row r="62" spans="1:6">
      <c r="A62" s="488" t="s">
        <v>344</v>
      </c>
      <c r="B62" s="488" t="s">
        <v>345</v>
      </c>
      <c r="C62" s="757" t="s">
        <v>1520</v>
      </c>
      <c r="D62" s="488" t="s">
        <v>2468</v>
      </c>
      <c r="E62" s="101">
        <v>43353</v>
      </c>
      <c r="F62" s="46">
        <v>100</v>
      </c>
    </row>
    <row r="63" spans="1:6">
      <c r="A63" s="488" t="s">
        <v>724</v>
      </c>
      <c r="B63" s="488" t="s">
        <v>725</v>
      </c>
      <c r="C63" s="757" t="s">
        <v>1510</v>
      </c>
      <c r="D63" s="488" t="s">
        <v>2492</v>
      </c>
      <c r="E63" s="101">
        <v>43353</v>
      </c>
      <c r="F63" s="46">
        <v>3860.07</v>
      </c>
    </row>
    <row r="64" spans="1:6">
      <c r="A64" s="488" t="s">
        <v>726</v>
      </c>
      <c r="B64" s="488" t="s">
        <v>727</v>
      </c>
      <c r="C64" s="757" t="s">
        <v>1511</v>
      </c>
      <c r="D64" s="488" t="s">
        <v>2466</v>
      </c>
      <c r="E64" s="101">
        <v>43353</v>
      </c>
      <c r="F64" s="46">
        <v>1539.81</v>
      </c>
    </row>
    <row r="65" spans="1:6">
      <c r="A65" s="488" t="s">
        <v>1435</v>
      </c>
      <c r="B65" s="488" t="s">
        <v>1436</v>
      </c>
      <c r="C65" s="757" t="s">
        <v>1518</v>
      </c>
      <c r="D65" s="488" t="s">
        <v>2467</v>
      </c>
      <c r="E65" s="101">
        <v>43353</v>
      </c>
      <c r="F65" s="46">
        <v>270</v>
      </c>
    </row>
    <row r="66" spans="1:6">
      <c r="A66" s="488" t="s">
        <v>1435</v>
      </c>
      <c r="B66" s="488" t="s">
        <v>1436</v>
      </c>
      <c r="C66" s="757" t="s">
        <v>1519</v>
      </c>
      <c r="D66" s="488" t="s">
        <v>2493</v>
      </c>
      <c r="E66" s="101">
        <v>43353</v>
      </c>
      <c r="F66" s="46">
        <v>400</v>
      </c>
    </row>
    <row r="67" spans="1:6">
      <c r="A67" s="488" t="s">
        <v>455</v>
      </c>
      <c r="B67" s="488" t="s">
        <v>456</v>
      </c>
      <c r="C67" s="757" t="s">
        <v>1512</v>
      </c>
      <c r="D67" s="488" t="s">
        <v>2467</v>
      </c>
      <c r="E67" s="101">
        <v>43353</v>
      </c>
      <c r="F67" s="46">
        <v>2200</v>
      </c>
    </row>
    <row r="68" spans="1:6">
      <c r="A68" s="488" t="s">
        <v>728</v>
      </c>
      <c r="B68" s="488" t="s">
        <v>729</v>
      </c>
      <c r="C68" s="757" t="s">
        <v>1513</v>
      </c>
      <c r="D68" s="488" t="s">
        <v>2478</v>
      </c>
      <c r="E68" s="101">
        <v>43353</v>
      </c>
      <c r="F68" s="46">
        <v>420.88</v>
      </c>
    </row>
    <row r="69" spans="1:6">
      <c r="A69" s="488" t="s">
        <v>393</v>
      </c>
      <c r="B69" s="488" t="s">
        <v>394</v>
      </c>
      <c r="C69" s="757" t="s">
        <v>1514</v>
      </c>
      <c r="D69" s="488" t="s">
        <v>2468</v>
      </c>
      <c r="E69" s="101">
        <v>43353</v>
      </c>
      <c r="F69" s="46">
        <v>1600</v>
      </c>
    </row>
    <row r="70" spans="1:6">
      <c r="A70" s="488" t="s">
        <v>393</v>
      </c>
      <c r="B70" s="488" t="s">
        <v>394</v>
      </c>
      <c r="C70" s="757" t="s">
        <v>1515</v>
      </c>
      <c r="D70" s="488" t="s">
        <v>2468</v>
      </c>
      <c r="E70" s="101">
        <v>43353</v>
      </c>
      <c r="F70" s="46">
        <v>2000</v>
      </c>
    </row>
    <row r="71" spans="1:6">
      <c r="A71" s="488" t="s">
        <v>395</v>
      </c>
      <c r="B71" s="488" t="s">
        <v>396</v>
      </c>
      <c r="C71" s="757" t="s">
        <v>1516</v>
      </c>
      <c r="D71" s="488" t="s">
        <v>2466</v>
      </c>
      <c r="E71" s="101">
        <v>43353</v>
      </c>
      <c r="F71" s="46">
        <v>1200</v>
      </c>
    </row>
    <row r="72" spans="1:6">
      <c r="A72" s="488" t="s">
        <v>497</v>
      </c>
      <c r="B72" s="488" t="s">
        <v>498</v>
      </c>
      <c r="C72" s="757" t="s">
        <v>1524</v>
      </c>
      <c r="D72" s="488" t="s">
        <v>2494</v>
      </c>
      <c r="E72" s="101">
        <v>43354</v>
      </c>
      <c r="F72" s="46">
        <v>820</v>
      </c>
    </row>
    <row r="73" spans="1:6">
      <c r="A73" s="488" t="s">
        <v>350</v>
      </c>
      <c r="B73" s="488" t="s">
        <v>351</v>
      </c>
      <c r="C73" s="757" t="s">
        <v>1525</v>
      </c>
      <c r="D73" s="488" t="s">
        <v>2469</v>
      </c>
      <c r="E73" s="101">
        <v>43354</v>
      </c>
      <c r="F73" s="46">
        <v>592.97</v>
      </c>
    </row>
    <row r="74" spans="1:6">
      <c r="A74" s="488" t="s">
        <v>429</v>
      </c>
      <c r="B74" s="488" t="s">
        <v>430</v>
      </c>
      <c r="C74" s="757" t="s">
        <v>1526</v>
      </c>
      <c r="D74" s="488" t="s">
        <v>2495</v>
      </c>
      <c r="E74" s="101">
        <v>43354</v>
      </c>
      <c r="F74" s="46">
        <v>958.54</v>
      </c>
    </row>
    <row r="75" spans="1:6">
      <c r="A75" s="488" t="s">
        <v>742</v>
      </c>
      <c r="B75" s="488" t="s">
        <v>415</v>
      </c>
      <c r="C75" s="757" t="s">
        <v>1527</v>
      </c>
      <c r="D75" s="488" t="s">
        <v>2465</v>
      </c>
      <c r="E75" s="101">
        <v>43354</v>
      </c>
      <c r="F75" s="46">
        <v>893.02</v>
      </c>
    </row>
    <row r="76" spans="1:6">
      <c r="A76" s="488" t="s">
        <v>743</v>
      </c>
      <c r="B76" s="488" t="s">
        <v>374</v>
      </c>
      <c r="C76" s="757" t="s">
        <v>1528</v>
      </c>
      <c r="D76" s="488" t="s">
        <v>103</v>
      </c>
      <c r="E76" s="101">
        <v>43354</v>
      </c>
      <c r="F76" s="46">
        <v>900</v>
      </c>
    </row>
    <row r="77" spans="1:6">
      <c r="A77" s="488" t="s">
        <v>326</v>
      </c>
      <c r="B77" s="488" t="s">
        <v>327</v>
      </c>
      <c r="C77" s="757" t="s">
        <v>1529</v>
      </c>
      <c r="D77" s="488" t="s">
        <v>2468</v>
      </c>
      <c r="E77" s="101">
        <v>43355</v>
      </c>
      <c r="F77" s="46">
        <v>1247.5999999999999</v>
      </c>
    </row>
    <row r="78" spans="1:6">
      <c r="A78" s="488" t="s">
        <v>744</v>
      </c>
      <c r="B78" s="488" t="s">
        <v>745</v>
      </c>
      <c r="C78" s="757" t="s">
        <v>1530</v>
      </c>
      <c r="D78" s="488" t="s">
        <v>2496</v>
      </c>
      <c r="E78" s="101">
        <v>43355</v>
      </c>
      <c r="F78" s="46">
        <v>647.25</v>
      </c>
    </row>
    <row r="79" spans="1:6">
      <c r="A79" s="488" t="s">
        <v>746</v>
      </c>
      <c r="B79" s="488" t="s">
        <v>534</v>
      </c>
      <c r="C79" s="757" t="s">
        <v>1531</v>
      </c>
      <c r="D79" s="488" t="s">
        <v>2497</v>
      </c>
      <c r="E79" s="101">
        <v>43355</v>
      </c>
      <c r="F79" s="46">
        <v>7000</v>
      </c>
    </row>
    <row r="80" spans="1:6">
      <c r="A80" s="488" t="s">
        <v>747</v>
      </c>
      <c r="B80" s="488" t="s">
        <v>748</v>
      </c>
      <c r="C80" s="757" t="s">
        <v>1532</v>
      </c>
      <c r="D80" s="488" t="s">
        <v>2496</v>
      </c>
      <c r="E80" s="101">
        <v>43355</v>
      </c>
      <c r="F80" s="46">
        <v>500</v>
      </c>
    </row>
    <row r="81" spans="1:6">
      <c r="A81" s="488" t="s">
        <v>475</v>
      </c>
      <c r="B81" s="488" t="s">
        <v>476</v>
      </c>
      <c r="C81" s="757" t="s">
        <v>1533</v>
      </c>
      <c r="D81" s="488" t="s">
        <v>103</v>
      </c>
      <c r="E81" s="101">
        <v>43355</v>
      </c>
      <c r="F81" s="46">
        <v>1000</v>
      </c>
    </row>
    <row r="82" spans="1:6">
      <c r="A82" s="488" t="s">
        <v>749</v>
      </c>
      <c r="B82" s="488" t="s">
        <v>330</v>
      </c>
      <c r="C82" s="757" t="s">
        <v>1534</v>
      </c>
      <c r="D82" s="488" t="s">
        <v>2472</v>
      </c>
      <c r="E82" s="101">
        <v>43355</v>
      </c>
      <c r="F82" s="46">
        <v>479.93</v>
      </c>
    </row>
    <row r="83" spans="1:6">
      <c r="A83" s="488" t="s">
        <v>348</v>
      </c>
      <c r="B83" s="488" t="s">
        <v>349</v>
      </c>
      <c r="C83" s="757" t="s">
        <v>1535</v>
      </c>
      <c r="D83" s="488" t="s">
        <v>2468</v>
      </c>
      <c r="E83" s="101">
        <v>43356</v>
      </c>
      <c r="F83" s="46">
        <v>654.35</v>
      </c>
    </row>
    <row r="84" spans="1:6">
      <c r="A84" s="488" t="s">
        <v>350</v>
      </c>
      <c r="B84" s="488" t="s">
        <v>351</v>
      </c>
      <c r="C84" s="757" t="s">
        <v>1536</v>
      </c>
      <c r="D84" s="488" t="s">
        <v>2469</v>
      </c>
      <c r="E84" s="101">
        <v>43356</v>
      </c>
      <c r="F84" s="46">
        <v>592.97</v>
      </c>
    </row>
    <row r="85" spans="1:6">
      <c r="A85" s="488" t="s">
        <v>356</v>
      </c>
      <c r="B85" s="488" t="s">
        <v>357</v>
      </c>
      <c r="C85" s="757" t="s">
        <v>1537</v>
      </c>
      <c r="D85" s="488" t="s">
        <v>2465</v>
      </c>
      <c r="E85" s="101">
        <v>43356</v>
      </c>
      <c r="F85" s="46">
        <v>4290.1000000000004</v>
      </c>
    </row>
    <row r="86" spans="1:6">
      <c r="A86" s="488" t="s">
        <v>320</v>
      </c>
      <c r="B86" s="488" t="s">
        <v>321</v>
      </c>
      <c r="C86" s="757" t="s">
        <v>1538</v>
      </c>
      <c r="D86" s="488" t="s">
        <v>2471</v>
      </c>
      <c r="E86" s="101">
        <v>43356</v>
      </c>
      <c r="F86" s="46">
        <v>1400</v>
      </c>
    </row>
    <row r="87" spans="1:6">
      <c r="A87" s="488" t="s">
        <v>1437</v>
      </c>
      <c r="B87" s="488" t="s">
        <v>1438</v>
      </c>
      <c r="C87" s="757" t="s">
        <v>1540</v>
      </c>
      <c r="D87" s="488" t="s">
        <v>2467</v>
      </c>
      <c r="E87" s="101">
        <v>43356</v>
      </c>
      <c r="F87" s="46">
        <v>470</v>
      </c>
    </row>
    <row r="88" spans="1:6">
      <c r="A88" s="488" t="s">
        <v>702</v>
      </c>
      <c r="B88" s="488" t="s">
        <v>703</v>
      </c>
      <c r="C88" s="757" t="s">
        <v>1539</v>
      </c>
      <c r="D88" s="488" t="s">
        <v>2467</v>
      </c>
      <c r="E88" s="101">
        <v>43356</v>
      </c>
      <c r="F88" s="46">
        <v>1032.3499999999999</v>
      </c>
    </row>
    <row r="89" spans="1:6">
      <c r="A89" s="488" t="s">
        <v>750</v>
      </c>
      <c r="B89" s="488" t="s">
        <v>751</v>
      </c>
      <c r="C89" s="757" t="s">
        <v>1541</v>
      </c>
      <c r="D89" s="488" t="s">
        <v>2498</v>
      </c>
      <c r="E89" s="101">
        <v>43357</v>
      </c>
      <c r="F89" s="46">
        <v>5711.14</v>
      </c>
    </row>
    <row r="90" spans="1:6">
      <c r="A90" s="488" t="s">
        <v>397</v>
      </c>
      <c r="B90" s="488" t="s">
        <v>398</v>
      </c>
      <c r="C90" s="757" t="s">
        <v>1542</v>
      </c>
      <c r="D90" s="488" t="s">
        <v>2499</v>
      </c>
      <c r="E90" s="101">
        <v>43358</v>
      </c>
      <c r="F90" s="46">
        <v>523.25</v>
      </c>
    </row>
    <row r="91" spans="1:6">
      <c r="A91" s="488" t="s">
        <v>401</v>
      </c>
      <c r="B91" s="488" t="s">
        <v>402</v>
      </c>
      <c r="C91" s="757" t="s">
        <v>1543</v>
      </c>
      <c r="D91" s="488" t="s">
        <v>2468</v>
      </c>
      <c r="E91" s="101">
        <v>43358</v>
      </c>
      <c r="F91" s="46">
        <v>2500</v>
      </c>
    </row>
    <row r="92" spans="1:6">
      <c r="A92" s="488" t="s">
        <v>515</v>
      </c>
      <c r="B92" s="488" t="s">
        <v>516</v>
      </c>
      <c r="C92" s="757" t="s">
        <v>1544</v>
      </c>
      <c r="D92" s="488" t="s">
        <v>2472</v>
      </c>
      <c r="E92" s="101">
        <v>43358</v>
      </c>
      <c r="F92" s="46">
        <v>691.39</v>
      </c>
    </row>
    <row r="93" spans="1:6">
      <c r="A93" s="488" t="s">
        <v>766</v>
      </c>
      <c r="B93" s="488" t="s">
        <v>460</v>
      </c>
      <c r="C93" s="757" t="s">
        <v>1545</v>
      </c>
      <c r="D93" s="488" t="s">
        <v>2468</v>
      </c>
      <c r="E93" s="101">
        <v>43358</v>
      </c>
      <c r="F93" s="46">
        <v>577.16</v>
      </c>
    </row>
    <row r="94" spans="1:6">
      <c r="A94" s="488" t="s">
        <v>468</v>
      </c>
      <c r="B94" s="488" t="s">
        <v>469</v>
      </c>
      <c r="C94" s="757" t="s">
        <v>1546</v>
      </c>
      <c r="D94" s="488" t="s">
        <v>103</v>
      </c>
      <c r="E94" s="101">
        <v>43358</v>
      </c>
      <c r="F94" s="46">
        <v>2000</v>
      </c>
    </row>
    <row r="95" spans="1:6">
      <c r="A95" s="488" t="s">
        <v>767</v>
      </c>
      <c r="B95" s="488" t="s">
        <v>768</v>
      </c>
      <c r="C95" s="757" t="s">
        <v>1547</v>
      </c>
      <c r="D95" s="488" t="s">
        <v>2463</v>
      </c>
      <c r="E95" s="101">
        <v>43358</v>
      </c>
      <c r="F95" s="46">
        <v>2590.86</v>
      </c>
    </row>
    <row r="96" spans="1:6">
      <c r="A96" s="488" t="s">
        <v>338</v>
      </c>
      <c r="B96" s="488" t="s">
        <v>339</v>
      </c>
      <c r="C96" s="757" t="s">
        <v>1548</v>
      </c>
      <c r="D96" s="488" t="s">
        <v>2476</v>
      </c>
      <c r="E96" s="101">
        <v>43358</v>
      </c>
      <c r="F96" s="46">
        <v>918.85</v>
      </c>
    </row>
    <row r="97" spans="1:6">
      <c r="A97" s="488" t="s">
        <v>389</v>
      </c>
      <c r="B97" s="488" t="s">
        <v>390</v>
      </c>
      <c r="C97" s="757" t="s">
        <v>1549</v>
      </c>
      <c r="D97" s="488" t="s">
        <v>2468</v>
      </c>
      <c r="E97" s="101">
        <v>43358</v>
      </c>
      <c r="F97" s="46">
        <v>1721.3</v>
      </c>
    </row>
    <row r="98" spans="1:6">
      <c r="A98" s="488" t="s">
        <v>322</v>
      </c>
      <c r="B98" s="488" t="s">
        <v>323</v>
      </c>
      <c r="C98" s="757" t="s">
        <v>1550</v>
      </c>
      <c r="D98" s="488" t="s">
        <v>2472</v>
      </c>
      <c r="E98" s="101">
        <v>43358</v>
      </c>
      <c r="F98" s="46">
        <v>1000</v>
      </c>
    </row>
    <row r="99" spans="1:6">
      <c r="A99" s="488" t="s">
        <v>1433</v>
      </c>
      <c r="B99" s="488" t="s">
        <v>1434</v>
      </c>
      <c r="C99" s="757" t="s">
        <v>1588</v>
      </c>
      <c r="D99" s="488" t="s">
        <v>2468</v>
      </c>
      <c r="E99" s="101">
        <v>43358</v>
      </c>
      <c r="F99" s="46">
        <v>500</v>
      </c>
    </row>
    <row r="100" spans="1:6">
      <c r="A100" s="488" t="s">
        <v>409</v>
      </c>
      <c r="B100" s="488" t="s">
        <v>410</v>
      </c>
      <c r="C100" s="757" t="s">
        <v>1551</v>
      </c>
      <c r="D100" s="488" t="s">
        <v>2468</v>
      </c>
      <c r="E100" s="101">
        <v>43358</v>
      </c>
      <c r="F100" s="46">
        <v>660</v>
      </c>
    </row>
    <row r="101" spans="1:6">
      <c r="A101" s="488" t="s">
        <v>332</v>
      </c>
      <c r="B101" s="488" t="s">
        <v>333</v>
      </c>
      <c r="C101" s="757" t="s">
        <v>1552</v>
      </c>
      <c r="D101" s="488" t="s">
        <v>2466</v>
      </c>
      <c r="E101" s="101">
        <v>43358</v>
      </c>
      <c r="F101" s="46">
        <v>2478</v>
      </c>
    </row>
    <row r="102" spans="1:6">
      <c r="A102" s="488" t="s">
        <v>769</v>
      </c>
      <c r="B102" s="488" t="s">
        <v>770</v>
      </c>
      <c r="C102" s="757" t="s">
        <v>1553</v>
      </c>
      <c r="D102" s="488" t="s">
        <v>103</v>
      </c>
      <c r="E102" s="101">
        <v>43358</v>
      </c>
      <c r="F102" s="46">
        <v>1143.95</v>
      </c>
    </row>
    <row r="103" spans="1:6">
      <c r="A103" s="488" t="s">
        <v>352</v>
      </c>
      <c r="B103" s="488" t="s">
        <v>353</v>
      </c>
      <c r="C103" s="757" t="s">
        <v>1554</v>
      </c>
      <c r="D103" s="488" t="s">
        <v>2476</v>
      </c>
      <c r="E103" s="101">
        <v>43358</v>
      </c>
      <c r="F103" s="46">
        <v>262.07</v>
      </c>
    </row>
    <row r="104" spans="1:6">
      <c r="A104" s="488" t="s">
        <v>354</v>
      </c>
      <c r="B104" s="488" t="s">
        <v>355</v>
      </c>
      <c r="C104" s="757" t="s">
        <v>1555</v>
      </c>
      <c r="D104" s="488" t="s">
        <v>2470</v>
      </c>
      <c r="E104" s="101">
        <v>43358</v>
      </c>
      <c r="F104" s="46">
        <v>1200</v>
      </c>
    </row>
    <row r="105" spans="1:6">
      <c r="A105" s="488" t="s">
        <v>360</v>
      </c>
      <c r="B105" s="488" t="s">
        <v>361</v>
      </c>
      <c r="C105" s="757" t="s">
        <v>1556</v>
      </c>
      <c r="D105" s="488" t="s">
        <v>2463</v>
      </c>
      <c r="E105" s="101">
        <v>43358</v>
      </c>
      <c r="F105" s="46">
        <v>1067.93</v>
      </c>
    </row>
    <row r="106" spans="1:6">
      <c r="A106" s="488" t="s">
        <v>364</v>
      </c>
      <c r="B106" s="488" t="s">
        <v>363</v>
      </c>
      <c r="C106" s="757" t="s">
        <v>1558</v>
      </c>
      <c r="D106" s="488" t="s">
        <v>2500</v>
      </c>
      <c r="E106" s="101">
        <v>43358</v>
      </c>
      <c r="F106" s="46">
        <v>4037.26</v>
      </c>
    </row>
    <row r="107" spans="1:6">
      <c r="A107" s="488" t="s">
        <v>362</v>
      </c>
      <c r="B107" s="488" t="s">
        <v>363</v>
      </c>
      <c r="C107" s="757" t="s">
        <v>1557</v>
      </c>
      <c r="D107" s="488" t="s">
        <v>2469</v>
      </c>
      <c r="E107" s="101">
        <v>43358</v>
      </c>
      <c r="F107" s="46">
        <v>3500</v>
      </c>
    </row>
    <row r="108" spans="1:6">
      <c r="A108" s="488" t="s">
        <v>365</v>
      </c>
      <c r="B108" s="488" t="s">
        <v>366</v>
      </c>
      <c r="C108" s="757" t="s">
        <v>1559</v>
      </c>
      <c r="D108" s="488" t="s">
        <v>2465</v>
      </c>
      <c r="E108" s="101">
        <v>43358</v>
      </c>
      <c r="F108" s="46">
        <v>676.07</v>
      </c>
    </row>
    <row r="109" spans="1:6">
      <c r="A109" s="488" t="s">
        <v>752</v>
      </c>
      <c r="B109" s="488" t="s">
        <v>367</v>
      </c>
      <c r="C109" s="757" t="s">
        <v>1560</v>
      </c>
      <c r="D109" s="488" t="s">
        <v>2471</v>
      </c>
      <c r="E109" s="101">
        <v>43358</v>
      </c>
      <c r="F109" s="46">
        <v>998.27</v>
      </c>
    </row>
    <row r="110" spans="1:6">
      <c r="A110" s="488" t="s">
        <v>424</v>
      </c>
      <c r="B110" s="488" t="s">
        <v>425</v>
      </c>
      <c r="C110" s="757" t="s">
        <v>1561</v>
      </c>
      <c r="D110" s="488" t="s">
        <v>2468</v>
      </c>
      <c r="E110" s="101">
        <v>43358</v>
      </c>
      <c r="F110" s="46">
        <v>513.85</v>
      </c>
    </row>
    <row r="111" spans="1:6">
      <c r="A111" s="488" t="s">
        <v>627</v>
      </c>
      <c r="B111" s="488" t="s">
        <v>628</v>
      </c>
      <c r="C111" s="757" t="s">
        <v>1449</v>
      </c>
      <c r="D111" s="488" t="s">
        <v>2501</v>
      </c>
      <c r="E111" s="101">
        <v>43358</v>
      </c>
      <c r="F111" s="46">
        <v>2232.3000000000002</v>
      </c>
    </row>
    <row r="112" spans="1:6">
      <c r="A112" s="488" t="s">
        <v>753</v>
      </c>
      <c r="B112" s="488" t="s">
        <v>370</v>
      </c>
      <c r="C112" s="757" t="s">
        <v>1562</v>
      </c>
      <c r="D112" s="488" t="s">
        <v>2497</v>
      </c>
      <c r="E112" s="101">
        <v>43358</v>
      </c>
      <c r="F112" s="46">
        <v>2495.5</v>
      </c>
    </row>
    <row r="113" spans="1:6">
      <c r="A113" s="488" t="s">
        <v>371</v>
      </c>
      <c r="B113" s="488" t="s">
        <v>372</v>
      </c>
      <c r="C113" s="757" t="s">
        <v>1563</v>
      </c>
      <c r="D113" s="488" t="s">
        <v>2470</v>
      </c>
      <c r="E113" s="101">
        <v>43358</v>
      </c>
      <c r="F113" s="46">
        <v>5182.17</v>
      </c>
    </row>
    <row r="114" spans="1:6">
      <c r="A114" s="488" t="s">
        <v>438</v>
      </c>
      <c r="B114" s="488" t="s">
        <v>376</v>
      </c>
      <c r="C114" s="757" t="s">
        <v>1565</v>
      </c>
      <c r="D114" s="488" t="s">
        <v>2468</v>
      </c>
      <c r="E114" s="101">
        <v>43358</v>
      </c>
      <c r="F114" s="46">
        <v>850</v>
      </c>
    </row>
    <row r="115" spans="1:6">
      <c r="A115" s="488" t="s">
        <v>438</v>
      </c>
      <c r="B115" s="488" t="s">
        <v>376</v>
      </c>
      <c r="C115" s="757" t="s">
        <v>1564</v>
      </c>
      <c r="D115" s="488" t="s">
        <v>2468</v>
      </c>
      <c r="E115" s="101">
        <v>43358</v>
      </c>
      <c r="F115" s="46">
        <v>620</v>
      </c>
    </row>
    <row r="116" spans="1:6">
      <c r="A116" s="488" t="s">
        <v>438</v>
      </c>
      <c r="B116" s="488" t="s">
        <v>376</v>
      </c>
      <c r="C116" s="757" t="s">
        <v>1566</v>
      </c>
      <c r="D116" s="488" t="s">
        <v>2468</v>
      </c>
      <c r="E116" s="101">
        <v>43358</v>
      </c>
      <c r="F116" s="46">
        <v>550</v>
      </c>
    </row>
    <row r="117" spans="1:6">
      <c r="A117" s="488" t="s">
        <v>438</v>
      </c>
      <c r="B117" s="488" t="s">
        <v>376</v>
      </c>
      <c r="C117" s="757" t="s">
        <v>1567</v>
      </c>
      <c r="D117" s="488" t="s">
        <v>2468</v>
      </c>
      <c r="E117" s="101">
        <v>43358</v>
      </c>
      <c r="F117" s="46">
        <v>400</v>
      </c>
    </row>
    <row r="118" spans="1:6">
      <c r="A118" s="488" t="s">
        <v>754</v>
      </c>
      <c r="B118" s="488" t="s">
        <v>755</v>
      </c>
      <c r="C118" s="757" t="s">
        <v>1568</v>
      </c>
      <c r="D118" s="488" t="s">
        <v>2466</v>
      </c>
      <c r="E118" s="101">
        <v>43358</v>
      </c>
      <c r="F118" s="46">
        <v>946.83</v>
      </c>
    </row>
    <row r="119" spans="1:6">
      <c r="A119" s="488" t="s">
        <v>756</v>
      </c>
      <c r="B119" s="488" t="s">
        <v>757</v>
      </c>
      <c r="C119" s="757" t="s">
        <v>1569</v>
      </c>
      <c r="D119" s="488" t="s">
        <v>2467</v>
      </c>
      <c r="E119" s="101">
        <v>43358</v>
      </c>
      <c r="F119" s="46">
        <v>1241.27</v>
      </c>
    </row>
    <row r="120" spans="1:6">
      <c r="A120" s="488" t="s">
        <v>379</v>
      </c>
      <c r="B120" s="488" t="s">
        <v>380</v>
      </c>
      <c r="C120" s="757" t="s">
        <v>1570</v>
      </c>
      <c r="D120" s="488" t="s">
        <v>2472</v>
      </c>
      <c r="E120" s="101">
        <v>43358</v>
      </c>
      <c r="F120" s="46">
        <v>999.7</v>
      </c>
    </row>
    <row r="121" spans="1:6">
      <c r="A121" s="488" t="s">
        <v>442</v>
      </c>
      <c r="B121" s="488" t="s">
        <v>443</v>
      </c>
      <c r="C121" s="757" t="s">
        <v>1571</v>
      </c>
      <c r="D121" s="488" t="s">
        <v>2472</v>
      </c>
      <c r="E121" s="101">
        <v>43358</v>
      </c>
      <c r="F121" s="46">
        <v>655</v>
      </c>
    </row>
    <row r="122" spans="1:6">
      <c r="A122" s="488" t="s">
        <v>381</v>
      </c>
      <c r="B122" s="488" t="s">
        <v>382</v>
      </c>
      <c r="C122" s="757" t="s">
        <v>1572</v>
      </c>
      <c r="D122" s="488" t="s">
        <v>2468</v>
      </c>
      <c r="E122" s="101">
        <v>43358</v>
      </c>
      <c r="F122" s="46">
        <v>1670.91</v>
      </c>
    </row>
    <row r="123" spans="1:6">
      <c r="A123" s="488" t="s">
        <v>758</v>
      </c>
      <c r="B123" s="488" t="s">
        <v>759</v>
      </c>
      <c r="C123" s="757" t="s">
        <v>1573</v>
      </c>
      <c r="D123" s="488" t="s">
        <v>2468</v>
      </c>
      <c r="E123" s="101">
        <v>43358</v>
      </c>
      <c r="F123" s="46">
        <v>4831.1400000000003</v>
      </c>
    </row>
    <row r="124" spans="1:6">
      <c r="A124" s="488" t="s">
        <v>650</v>
      </c>
      <c r="B124" s="488" t="s">
        <v>651</v>
      </c>
      <c r="C124" s="757" t="s">
        <v>1574</v>
      </c>
      <c r="D124" s="488" t="s">
        <v>2476</v>
      </c>
      <c r="E124" s="101">
        <v>43358</v>
      </c>
      <c r="F124" s="46">
        <v>1191.51</v>
      </c>
    </row>
    <row r="125" spans="1:6">
      <c r="A125" s="488" t="s">
        <v>385</v>
      </c>
      <c r="B125" s="488" t="s">
        <v>386</v>
      </c>
      <c r="C125" s="757" t="s">
        <v>1575</v>
      </c>
      <c r="D125" s="488" t="s">
        <v>2467</v>
      </c>
      <c r="E125" s="101">
        <v>43358</v>
      </c>
      <c r="F125" s="46">
        <v>551.15</v>
      </c>
    </row>
    <row r="126" spans="1:6">
      <c r="A126" s="488" t="s">
        <v>559</v>
      </c>
      <c r="B126" s="488" t="s">
        <v>560</v>
      </c>
      <c r="C126" s="757" t="s">
        <v>1576</v>
      </c>
      <c r="D126" s="488" t="s">
        <v>103</v>
      </c>
      <c r="E126" s="101">
        <v>43358</v>
      </c>
      <c r="F126" s="46">
        <v>1000</v>
      </c>
    </row>
    <row r="127" spans="1:6">
      <c r="A127" s="488" t="s">
        <v>444</v>
      </c>
      <c r="B127" s="488" t="s">
        <v>445</v>
      </c>
      <c r="C127" s="757" t="s">
        <v>1577</v>
      </c>
      <c r="D127" s="488" t="s">
        <v>2467</v>
      </c>
      <c r="E127" s="101">
        <v>43358</v>
      </c>
      <c r="F127" s="46">
        <v>2063.41</v>
      </c>
    </row>
    <row r="128" spans="1:6">
      <c r="A128" s="488" t="s">
        <v>760</v>
      </c>
      <c r="B128" s="488" t="s">
        <v>761</v>
      </c>
      <c r="C128" s="757" t="s">
        <v>1578</v>
      </c>
      <c r="D128" s="488" t="s">
        <v>2468</v>
      </c>
      <c r="E128" s="101">
        <v>43358</v>
      </c>
      <c r="F128" s="46">
        <v>2759.39</v>
      </c>
    </row>
    <row r="129" spans="1:6">
      <c r="A129" s="488" t="s">
        <v>762</v>
      </c>
      <c r="B129" s="488" t="s">
        <v>763</v>
      </c>
      <c r="C129" s="757" t="s">
        <v>1579</v>
      </c>
      <c r="D129" s="488" t="s">
        <v>2467</v>
      </c>
      <c r="E129" s="101">
        <v>43358</v>
      </c>
      <c r="F129" s="46">
        <v>1331.83</v>
      </c>
    </row>
    <row r="130" spans="1:6">
      <c r="A130" s="488" t="s">
        <v>391</v>
      </c>
      <c r="B130" s="488" t="s">
        <v>392</v>
      </c>
      <c r="C130" s="757" t="s">
        <v>1580</v>
      </c>
      <c r="D130" s="488" t="s">
        <v>2472</v>
      </c>
      <c r="E130" s="101">
        <v>43358</v>
      </c>
      <c r="F130" s="46">
        <v>1086.23</v>
      </c>
    </row>
    <row r="131" spans="1:6">
      <c r="A131" s="488" t="s">
        <v>573</v>
      </c>
      <c r="B131" s="488" t="s">
        <v>574</v>
      </c>
      <c r="C131" s="757" t="s">
        <v>1581</v>
      </c>
      <c r="D131" s="488" t="s">
        <v>2466</v>
      </c>
      <c r="E131" s="101">
        <v>43358</v>
      </c>
      <c r="F131" s="46">
        <v>400</v>
      </c>
    </row>
    <row r="132" spans="1:6">
      <c r="A132" s="488" t="s">
        <v>700</v>
      </c>
      <c r="B132" s="488" t="s">
        <v>701</v>
      </c>
      <c r="C132" s="757" t="s">
        <v>1586</v>
      </c>
      <c r="D132" s="488" t="s">
        <v>103</v>
      </c>
      <c r="E132" s="101">
        <v>43358</v>
      </c>
      <c r="F132" s="46">
        <v>300</v>
      </c>
    </row>
    <row r="133" spans="1:6">
      <c r="A133" s="488" t="s">
        <v>452</v>
      </c>
      <c r="B133" s="488" t="s">
        <v>2502</v>
      </c>
      <c r="C133" s="757" t="s">
        <v>1587</v>
      </c>
      <c r="D133" s="488" t="s">
        <v>2467</v>
      </c>
      <c r="E133" s="101">
        <v>43358</v>
      </c>
      <c r="F133" s="46">
        <v>350.7</v>
      </c>
    </row>
    <row r="134" spans="1:6">
      <c r="A134" s="488" t="s">
        <v>764</v>
      </c>
      <c r="B134" s="488" t="s">
        <v>765</v>
      </c>
      <c r="C134" s="757" t="s">
        <v>1582</v>
      </c>
      <c r="D134" s="488" t="s">
        <v>2468</v>
      </c>
      <c r="E134" s="101">
        <v>43358</v>
      </c>
      <c r="F134" s="46">
        <v>693</v>
      </c>
    </row>
    <row r="135" spans="1:6">
      <c r="A135" s="488" t="s">
        <v>393</v>
      </c>
      <c r="B135" s="488" t="s">
        <v>394</v>
      </c>
      <c r="C135" s="757" t="s">
        <v>1583</v>
      </c>
      <c r="D135" s="488" t="s">
        <v>2468</v>
      </c>
      <c r="E135" s="101">
        <v>43358</v>
      </c>
      <c r="F135" s="46">
        <v>2000</v>
      </c>
    </row>
    <row r="136" spans="1:6">
      <c r="A136" s="488" t="s">
        <v>393</v>
      </c>
      <c r="B136" s="488" t="s">
        <v>394</v>
      </c>
      <c r="C136" s="757" t="s">
        <v>1584</v>
      </c>
      <c r="D136" s="488" t="s">
        <v>2468</v>
      </c>
      <c r="E136" s="101">
        <v>43358</v>
      </c>
      <c r="F136" s="46">
        <v>1600</v>
      </c>
    </row>
    <row r="137" spans="1:6">
      <c r="A137" s="488" t="s">
        <v>457</v>
      </c>
      <c r="B137" s="488" t="s">
        <v>458</v>
      </c>
      <c r="C137" s="757" t="s">
        <v>1585</v>
      </c>
      <c r="D137" s="488" t="s">
        <v>2472</v>
      </c>
      <c r="E137" s="101">
        <v>43358</v>
      </c>
      <c r="F137" s="46">
        <v>2380</v>
      </c>
    </row>
    <row r="138" spans="1:6">
      <c r="A138" s="488" t="s">
        <v>336</v>
      </c>
      <c r="B138" s="488" t="s">
        <v>337</v>
      </c>
      <c r="C138" s="757" t="s">
        <v>1589</v>
      </c>
      <c r="D138" s="488" t="s">
        <v>2467</v>
      </c>
      <c r="E138" s="101">
        <v>43359</v>
      </c>
      <c r="F138" s="46">
        <v>670</v>
      </c>
    </row>
    <row r="139" spans="1:6">
      <c r="A139" s="488" t="s">
        <v>342</v>
      </c>
      <c r="B139" s="488" t="s">
        <v>343</v>
      </c>
      <c r="C139" s="757" t="s">
        <v>1593</v>
      </c>
      <c r="D139" s="488" t="s">
        <v>2468</v>
      </c>
      <c r="E139" s="101">
        <v>43359</v>
      </c>
      <c r="F139" s="46">
        <v>2300</v>
      </c>
    </row>
    <row r="140" spans="1:6">
      <c r="A140" s="488" t="s">
        <v>1590</v>
      </c>
      <c r="B140" s="488" t="s">
        <v>1591</v>
      </c>
      <c r="C140" s="757" t="s">
        <v>1592</v>
      </c>
      <c r="D140" s="488" t="s">
        <v>2462</v>
      </c>
      <c r="E140" s="101">
        <v>43359</v>
      </c>
      <c r="F140" s="46">
        <v>300</v>
      </c>
    </row>
    <row r="141" spans="1:6">
      <c r="A141" s="488" t="s">
        <v>411</v>
      </c>
      <c r="B141" s="488" t="s">
        <v>412</v>
      </c>
      <c r="C141" s="757" t="s">
        <v>2503</v>
      </c>
      <c r="D141" s="488" t="s">
        <v>2465</v>
      </c>
      <c r="E141" s="101">
        <v>43359</v>
      </c>
      <c r="F141" s="46">
        <v>445.3</v>
      </c>
    </row>
    <row r="142" spans="1:6">
      <c r="A142" s="488" t="s">
        <v>2504</v>
      </c>
      <c r="B142" s="488" t="s">
        <v>413</v>
      </c>
      <c r="C142" s="757" t="s">
        <v>2505</v>
      </c>
      <c r="D142" s="488" t="s">
        <v>2506</v>
      </c>
      <c r="E142" s="101">
        <v>43360</v>
      </c>
      <c r="F142" s="46">
        <v>432.21</v>
      </c>
    </row>
    <row r="143" spans="1:6">
      <c r="A143" s="488" t="s">
        <v>771</v>
      </c>
      <c r="B143" s="488" t="s">
        <v>772</v>
      </c>
      <c r="C143" s="757" t="s">
        <v>1594</v>
      </c>
      <c r="D143" s="488" t="s">
        <v>2471</v>
      </c>
      <c r="E143" s="101">
        <v>43360</v>
      </c>
      <c r="F143" s="46">
        <v>1269.1400000000001</v>
      </c>
    </row>
    <row r="144" spans="1:6">
      <c r="A144" s="488" t="s">
        <v>340</v>
      </c>
      <c r="B144" s="488" t="s">
        <v>341</v>
      </c>
      <c r="C144" s="757" t="s">
        <v>1595</v>
      </c>
      <c r="D144" s="488" t="s">
        <v>2468</v>
      </c>
      <c r="E144" s="101">
        <v>43360</v>
      </c>
      <c r="F144" s="46">
        <v>420</v>
      </c>
    </row>
    <row r="145" spans="1:6">
      <c r="A145" s="488" t="s">
        <v>422</v>
      </c>
      <c r="B145" s="488" t="s">
        <v>423</v>
      </c>
      <c r="C145" s="757" t="s">
        <v>1596</v>
      </c>
      <c r="D145" s="488" t="s">
        <v>2468</v>
      </c>
      <c r="E145" s="101">
        <v>43360</v>
      </c>
      <c r="F145" s="46">
        <v>3000</v>
      </c>
    </row>
    <row r="146" spans="1:6">
      <c r="A146" s="488" t="s">
        <v>742</v>
      </c>
      <c r="B146" s="488" t="s">
        <v>415</v>
      </c>
      <c r="C146" s="757" t="s">
        <v>1597</v>
      </c>
      <c r="D146" s="488" t="s">
        <v>2465</v>
      </c>
      <c r="E146" s="101">
        <v>43361</v>
      </c>
      <c r="F146" s="46">
        <v>893.02</v>
      </c>
    </row>
    <row r="147" spans="1:6">
      <c r="A147" s="488" t="s">
        <v>472</v>
      </c>
      <c r="B147" s="488" t="s">
        <v>473</v>
      </c>
      <c r="C147" s="757" t="s">
        <v>1598</v>
      </c>
      <c r="D147" s="488" t="s">
        <v>2465</v>
      </c>
      <c r="E147" s="101">
        <v>43361</v>
      </c>
      <c r="F147" s="46">
        <v>2000</v>
      </c>
    </row>
    <row r="148" spans="1:6">
      <c r="A148" s="488" t="s">
        <v>440</v>
      </c>
      <c r="B148" s="488" t="s">
        <v>441</v>
      </c>
      <c r="C148" s="757" t="s">
        <v>1599</v>
      </c>
      <c r="D148" s="488" t="s">
        <v>2465</v>
      </c>
      <c r="E148" s="101">
        <v>43361</v>
      </c>
      <c r="F148" s="46">
        <v>634.80999999999995</v>
      </c>
    </row>
    <row r="149" spans="1:6">
      <c r="A149" s="488" t="s">
        <v>340</v>
      </c>
      <c r="B149" s="488" t="s">
        <v>341</v>
      </c>
      <c r="C149" s="757" t="s">
        <v>1601</v>
      </c>
      <c r="D149" s="488" t="s">
        <v>2468</v>
      </c>
      <c r="E149" s="101">
        <v>43361</v>
      </c>
      <c r="F149" s="46">
        <v>384.81</v>
      </c>
    </row>
    <row r="150" spans="1:6">
      <c r="A150" s="488" t="s">
        <v>453</v>
      </c>
      <c r="B150" s="488" t="s">
        <v>454</v>
      </c>
      <c r="C150" s="757" t="s">
        <v>1600</v>
      </c>
      <c r="D150" s="488" t="s">
        <v>2467</v>
      </c>
      <c r="E150" s="101">
        <v>43361</v>
      </c>
      <c r="F150" s="46">
        <v>720.12</v>
      </c>
    </row>
    <row r="151" spans="1:6">
      <c r="A151" s="488" t="s">
        <v>326</v>
      </c>
      <c r="B151" s="488" t="s">
        <v>327</v>
      </c>
      <c r="C151" s="757" t="s">
        <v>1602</v>
      </c>
      <c r="D151" s="488" t="s">
        <v>2468</v>
      </c>
      <c r="E151" s="101">
        <v>43362</v>
      </c>
      <c r="F151" s="46">
        <v>1500</v>
      </c>
    </row>
    <row r="152" spans="1:6">
      <c r="A152" s="488" t="s">
        <v>350</v>
      </c>
      <c r="B152" s="488" t="s">
        <v>351</v>
      </c>
      <c r="C152" s="757" t="s">
        <v>1603</v>
      </c>
      <c r="D152" s="488" t="s">
        <v>2469</v>
      </c>
      <c r="E152" s="101">
        <v>43362</v>
      </c>
      <c r="F152" s="46">
        <v>500</v>
      </c>
    </row>
    <row r="153" spans="1:6">
      <c r="A153" s="488" t="s">
        <v>2507</v>
      </c>
      <c r="B153" s="488" t="s">
        <v>2508</v>
      </c>
      <c r="C153" s="757" t="s">
        <v>2509</v>
      </c>
      <c r="D153" s="488" t="s">
        <v>2467</v>
      </c>
      <c r="E153" s="101">
        <v>43363</v>
      </c>
      <c r="F153" s="46">
        <v>2609.9699999999998</v>
      </c>
    </row>
    <row r="154" spans="1:6">
      <c r="A154" s="488" t="s">
        <v>350</v>
      </c>
      <c r="B154" s="488" t="s">
        <v>351</v>
      </c>
      <c r="C154" s="757" t="s">
        <v>1604</v>
      </c>
      <c r="D154" s="488" t="s">
        <v>2469</v>
      </c>
      <c r="E154" s="101">
        <v>43363</v>
      </c>
      <c r="F154" s="46">
        <v>592.97</v>
      </c>
    </row>
    <row r="155" spans="1:6">
      <c r="A155" s="488" t="s">
        <v>401</v>
      </c>
      <c r="B155" s="488" t="s">
        <v>402</v>
      </c>
      <c r="C155" s="757" t="s">
        <v>1605</v>
      </c>
      <c r="D155" s="488" t="s">
        <v>2468</v>
      </c>
      <c r="E155" s="101">
        <v>43363</v>
      </c>
      <c r="F155" s="46">
        <v>2500</v>
      </c>
    </row>
    <row r="156" spans="1:6">
      <c r="A156" s="488" t="s">
        <v>784</v>
      </c>
      <c r="B156" s="488" t="s">
        <v>594</v>
      </c>
      <c r="C156" s="757" t="s">
        <v>1606</v>
      </c>
      <c r="D156" s="488" t="s">
        <v>2470</v>
      </c>
      <c r="E156" s="101">
        <v>43363</v>
      </c>
      <c r="F156" s="46">
        <v>950.77</v>
      </c>
    </row>
    <row r="157" spans="1:6">
      <c r="A157" s="488" t="s">
        <v>322</v>
      </c>
      <c r="B157" s="488" t="s">
        <v>323</v>
      </c>
      <c r="C157" s="757" t="s">
        <v>1607</v>
      </c>
      <c r="D157" s="488" t="s">
        <v>2472</v>
      </c>
      <c r="E157" s="101">
        <v>43363</v>
      </c>
      <c r="F157" s="46">
        <v>1000</v>
      </c>
    </row>
    <row r="158" spans="1:6">
      <c r="A158" s="488" t="s">
        <v>461</v>
      </c>
      <c r="B158" s="488" t="s">
        <v>462</v>
      </c>
      <c r="C158" s="757" t="s">
        <v>1608</v>
      </c>
      <c r="D158" s="488" t="s">
        <v>2468</v>
      </c>
      <c r="E158" s="101">
        <v>43363</v>
      </c>
      <c r="F158" s="46">
        <v>800</v>
      </c>
    </row>
    <row r="159" spans="1:6">
      <c r="A159" s="488" t="s">
        <v>409</v>
      </c>
      <c r="B159" s="488" t="s">
        <v>410</v>
      </c>
      <c r="C159" s="757" t="s">
        <v>1609</v>
      </c>
      <c r="D159" s="488" t="s">
        <v>2468</v>
      </c>
      <c r="E159" s="101">
        <v>43363</v>
      </c>
      <c r="F159" s="46">
        <v>670</v>
      </c>
    </row>
    <row r="160" spans="1:6">
      <c r="A160" s="488" t="s">
        <v>356</v>
      </c>
      <c r="B160" s="488" t="s">
        <v>357</v>
      </c>
      <c r="C160" s="757" t="s">
        <v>1610</v>
      </c>
      <c r="D160" s="488" t="s">
        <v>2465</v>
      </c>
      <c r="E160" s="101">
        <v>43363</v>
      </c>
      <c r="F160" s="46">
        <v>4290.1000000000004</v>
      </c>
    </row>
    <row r="161" spans="1:6">
      <c r="A161" s="488" t="s">
        <v>411</v>
      </c>
      <c r="B161" s="488" t="s">
        <v>412</v>
      </c>
      <c r="C161" s="757" t="s">
        <v>1611</v>
      </c>
      <c r="D161" s="488" t="s">
        <v>2465</v>
      </c>
      <c r="E161" s="101">
        <v>43363</v>
      </c>
      <c r="F161" s="46">
        <v>439</v>
      </c>
    </row>
    <row r="162" spans="1:6">
      <c r="A162" s="488" t="s">
        <v>527</v>
      </c>
      <c r="B162" s="488" t="s">
        <v>359</v>
      </c>
      <c r="C162" s="757" t="s">
        <v>1612</v>
      </c>
      <c r="D162" s="488" t="s">
        <v>2471</v>
      </c>
      <c r="E162" s="101">
        <v>43363</v>
      </c>
      <c r="F162" s="46">
        <v>390.8</v>
      </c>
    </row>
    <row r="163" spans="1:6">
      <c r="A163" s="488" t="s">
        <v>773</v>
      </c>
      <c r="B163" s="488" t="s">
        <v>774</v>
      </c>
      <c r="C163" s="757" t="s">
        <v>1613</v>
      </c>
      <c r="D163" s="488" t="s">
        <v>2478</v>
      </c>
      <c r="E163" s="101">
        <v>43363</v>
      </c>
      <c r="F163" s="46">
        <v>537.35</v>
      </c>
    </row>
    <row r="164" spans="1:6">
      <c r="A164" s="488" t="s">
        <v>775</v>
      </c>
      <c r="B164" s="488" t="s">
        <v>437</v>
      </c>
      <c r="C164" s="757" t="s">
        <v>1614</v>
      </c>
      <c r="D164" s="488" t="s">
        <v>2510</v>
      </c>
      <c r="E164" s="101">
        <v>43363</v>
      </c>
      <c r="F164" s="46">
        <v>920.26</v>
      </c>
    </row>
    <row r="165" spans="1:6">
      <c r="A165" s="488" t="s">
        <v>438</v>
      </c>
      <c r="B165" s="488" t="s">
        <v>376</v>
      </c>
      <c r="C165" s="757" t="s">
        <v>1616</v>
      </c>
      <c r="D165" s="488" t="s">
        <v>2463</v>
      </c>
      <c r="E165" s="101">
        <v>43363</v>
      </c>
      <c r="F165" s="46">
        <v>740</v>
      </c>
    </row>
    <row r="166" spans="1:6">
      <c r="A166" s="488" t="s">
        <v>375</v>
      </c>
      <c r="B166" s="488" t="s">
        <v>376</v>
      </c>
      <c r="C166" s="757" t="s">
        <v>1615</v>
      </c>
      <c r="D166" s="488" t="s">
        <v>2496</v>
      </c>
      <c r="E166" s="101">
        <v>43363</v>
      </c>
      <c r="F166" s="46">
        <v>450</v>
      </c>
    </row>
    <row r="167" spans="1:6">
      <c r="A167" s="488" t="s">
        <v>375</v>
      </c>
      <c r="B167" s="488" t="s">
        <v>376</v>
      </c>
      <c r="C167" s="757" t="s">
        <v>1617</v>
      </c>
      <c r="D167" s="488" t="s">
        <v>2511</v>
      </c>
      <c r="E167" s="101">
        <v>43363</v>
      </c>
      <c r="F167" s="46">
        <v>500</v>
      </c>
    </row>
    <row r="168" spans="1:6">
      <c r="A168" s="488" t="s">
        <v>694</v>
      </c>
      <c r="B168" s="488" t="s">
        <v>695</v>
      </c>
      <c r="C168" s="757" t="s">
        <v>1618</v>
      </c>
      <c r="D168" s="488" t="s">
        <v>2467</v>
      </c>
      <c r="E168" s="101">
        <v>43363</v>
      </c>
      <c r="F168" s="46">
        <v>327</v>
      </c>
    </row>
    <row r="169" spans="1:6">
      <c r="A169" s="488" t="s">
        <v>756</v>
      </c>
      <c r="B169" s="488" t="s">
        <v>757</v>
      </c>
      <c r="C169" s="757" t="s">
        <v>1619</v>
      </c>
      <c r="D169" s="488" t="s">
        <v>2467</v>
      </c>
      <c r="E169" s="101">
        <v>43363</v>
      </c>
      <c r="F169" s="46">
        <v>977.71</v>
      </c>
    </row>
    <row r="170" spans="1:6">
      <c r="A170" s="488" t="s">
        <v>442</v>
      </c>
      <c r="B170" s="488" t="s">
        <v>443</v>
      </c>
      <c r="C170" s="757" t="s">
        <v>1620</v>
      </c>
      <c r="D170" s="488" t="s">
        <v>2472</v>
      </c>
      <c r="E170" s="101">
        <v>43363</v>
      </c>
      <c r="F170" s="46">
        <v>655</v>
      </c>
    </row>
    <row r="171" spans="1:6">
      <c r="A171" s="488" t="s">
        <v>499</v>
      </c>
      <c r="B171" s="488" t="s">
        <v>500</v>
      </c>
      <c r="C171" s="757" t="s">
        <v>1621</v>
      </c>
      <c r="D171" s="488" t="s">
        <v>2467</v>
      </c>
      <c r="E171" s="101">
        <v>43363</v>
      </c>
      <c r="F171" s="46">
        <v>900</v>
      </c>
    </row>
    <row r="172" spans="1:6">
      <c r="A172" s="488" t="s">
        <v>475</v>
      </c>
      <c r="B172" s="488" t="s">
        <v>476</v>
      </c>
      <c r="C172" s="757" t="s">
        <v>1622</v>
      </c>
      <c r="D172" s="488" t="s">
        <v>103</v>
      </c>
      <c r="E172" s="101">
        <v>43363</v>
      </c>
      <c r="F172" s="46">
        <v>2000</v>
      </c>
    </row>
    <row r="173" spans="1:6">
      <c r="A173" s="488" t="s">
        <v>776</v>
      </c>
      <c r="B173" s="488" t="s">
        <v>777</v>
      </c>
      <c r="C173" s="757" t="s">
        <v>1623</v>
      </c>
      <c r="D173" s="488" t="s">
        <v>2468</v>
      </c>
      <c r="E173" s="101">
        <v>43363</v>
      </c>
      <c r="F173" s="46">
        <v>2601.84</v>
      </c>
    </row>
    <row r="174" spans="1:6">
      <c r="A174" s="488" t="s">
        <v>778</v>
      </c>
      <c r="B174" s="488" t="s">
        <v>779</v>
      </c>
      <c r="C174" s="757" t="s">
        <v>1624</v>
      </c>
      <c r="D174" s="488" t="s">
        <v>2476</v>
      </c>
      <c r="E174" s="101">
        <v>43363</v>
      </c>
      <c r="F174" s="46">
        <v>1972.12</v>
      </c>
    </row>
    <row r="175" spans="1:6">
      <c r="A175" s="488" t="s">
        <v>780</v>
      </c>
      <c r="B175" s="488" t="s">
        <v>781</v>
      </c>
      <c r="C175" s="757" t="s">
        <v>1625</v>
      </c>
      <c r="D175" s="488" t="s">
        <v>2467</v>
      </c>
      <c r="E175" s="101">
        <v>43363</v>
      </c>
      <c r="F175" s="46">
        <v>1395.86</v>
      </c>
    </row>
    <row r="176" spans="1:6">
      <c r="A176" s="488" t="s">
        <v>782</v>
      </c>
      <c r="B176" s="488" t="s">
        <v>783</v>
      </c>
      <c r="C176" s="757" t="s">
        <v>1626</v>
      </c>
      <c r="D176" s="488" t="s">
        <v>2467</v>
      </c>
      <c r="E176" s="101">
        <v>43363</v>
      </c>
      <c r="F176" s="46">
        <v>867.52</v>
      </c>
    </row>
    <row r="177" spans="1:6">
      <c r="A177" s="488" t="s">
        <v>455</v>
      </c>
      <c r="B177" s="488" t="s">
        <v>456</v>
      </c>
      <c r="C177" s="757" t="s">
        <v>1627</v>
      </c>
      <c r="D177" s="488" t="s">
        <v>2467</v>
      </c>
      <c r="E177" s="101">
        <v>43363</v>
      </c>
      <c r="F177" s="46">
        <v>2200</v>
      </c>
    </row>
    <row r="178" spans="1:6">
      <c r="A178" s="488" t="s">
        <v>579</v>
      </c>
      <c r="B178" s="488" t="s">
        <v>580</v>
      </c>
      <c r="C178" s="757" t="s">
        <v>1628</v>
      </c>
      <c r="D178" s="488" t="s">
        <v>2466</v>
      </c>
      <c r="E178" s="101">
        <v>43363</v>
      </c>
      <c r="F178" s="46">
        <v>3116.05</v>
      </c>
    </row>
    <row r="179" spans="1:6">
      <c r="A179" s="488" t="s">
        <v>393</v>
      </c>
      <c r="B179" s="488" t="s">
        <v>394</v>
      </c>
      <c r="C179" s="757" t="s">
        <v>1629</v>
      </c>
      <c r="D179" s="488" t="s">
        <v>2468</v>
      </c>
      <c r="E179" s="101">
        <v>43363</v>
      </c>
      <c r="F179" s="46">
        <v>2000</v>
      </c>
    </row>
    <row r="180" spans="1:6">
      <c r="A180" s="488" t="s">
        <v>395</v>
      </c>
      <c r="B180" s="488" t="s">
        <v>396</v>
      </c>
      <c r="C180" s="757" t="s">
        <v>1630</v>
      </c>
      <c r="D180" s="488" t="s">
        <v>2466</v>
      </c>
      <c r="E180" s="101">
        <v>43363</v>
      </c>
      <c r="F180" s="46">
        <v>1200</v>
      </c>
    </row>
    <row r="181" spans="1:6">
      <c r="A181" s="488" t="s">
        <v>785</v>
      </c>
      <c r="B181" s="488" t="s">
        <v>786</v>
      </c>
      <c r="C181" s="757" t="s">
        <v>1631</v>
      </c>
      <c r="D181" s="488" t="s">
        <v>2506</v>
      </c>
      <c r="E181" s="101">
        <v>43364</v>
      </c>
      <c r="F181" s="46">
        <v>728.64</v>
      </c>
    </row>
    <row r="182" spans="1:6">
      <c r="A182" s="488" t="s">
        <v>787</v>
      </c>
      <c r="B182" s="488" t="s">
        <v>480</v>
      </c>
      <c r="C182" s="757" t="s">
        <v>1632</v>
      </c>
      <c r="D182" s="488" t="s">
        <v>103</v>
      </c>
      <c r="E182" s="101">
        <v>43364</v>
      </c>
      <c r="F182" s="46">
        <v>963</v>
      </c>
    </row>
    <row r="183" spans="1:6">
      <c r="A183" s="488" t="s">
        <v>747</v>
      </c>
      <c r="B183" s="488" t="s">
        <v>748</v>
      </c>
      <c r="C183" s="757" t="s">
        <v>1633</v>
      </c>
      <c r="D183" s="488" t="s">
        <v>2465</v>
      </c>
      <c r="E183" s="101">
        <v>43364</v>
      </c>
      <c r="F183" s="46">
        <v>600</v>
      </c>
    </row>
    <row r="184" spans="1:6">
      <c r="A184" s="488" t="s">
        <v>710</v>
      </c>
      <c r="B184" s="488" t="s">
        <v>711</v>
      </c>
      <c r="E184" s="101">
        <v>43364</v>
      </c>
      <c r="F184" s="46">
        <v>1000</v>
      </c>
    </row>
    <row r="185" spans="1:6">
      <c r="A185" s="488" t="s">
        <v>468</v>
      </c>
      <c r="B185" s="488" t="s">
        <v>469</v>
      </c>
      <c r="C185" s="757" t="s">
        <v>1634</v>
      </c>
      <c r="D185" s="488" t="s">
        <v>103</v>
      </c>
      <c r="E185" s="101">
        <v>43365</v>
      </c>
      <c r="F185" s="46">
        <v>2000</v>
      </c>
    </row>
    <row r="186" spans="1:6">
      <c r="A186" s="488" t="s">
        <v>332</v>
      </c>
      <c r="B186" s="488" t="s">
        <v>333</v>
      </c>
      <c r="C186" s="757" t="s">
        <v>1635</v>
      </c>
      <c r="D186" s="488" t="s">
        <v>2466</v>
      </c>
      <c r="E186" s="101">
        <v>43365</v>
      </c>
      <c r="F186" s="46">
        <v>2250</v>
      </c>
    </row>
    <row r="187" spans="1:6">
      <c r="A187" s="488" t="s">
        <v>470</v>
      </c>
      <c r="B187" s="488" t="s">
        <v>471</v>
      </c>
      <c r="C187" s="757" t="s">
        <v>1636</v>
      </c>
      <c r="D187" s="488" t="s">
        <v>2470</v>
      </c>
      <c r="E187" s="101">
        <v>43365</v>
      </c>
      <c r="F187" s="46">
        <v>5069.12</v>
      </c>
    </row>
    <row r="188" spans="1:6">
      <c r="A188" s="488" t="s">
        <v>743</v>
      </c>
      <c r="B188" s="488" t="s">
        <v>374</v>
      </c>
      <c r="C188" s="757" t="s">
        <v>1637</v>
      </c>
      <c r="D188" s="488" t="s">
        <v>103</v>
      </c>
      <c r="E188" s="101">
        <v>43365</v>
      </c>
      <c r="F188" s="46">
        <v>900</v>
      </c>
    </row>
    <row r="189" spans="1:6">
      <c r="A189" s="488" t="s">
        <v>438</v>
      </c>
      <c r="B189" s="488" t="s">
        <v>376</v>
      </c>
      <c r="C189" s="757" t="s">
        <v>1638</v>
      </c>
      <c r="D189" s="488" t="s">
        <v>103</v>
      </c>
      <c r="E189" s="101">
        <v>43365</v>
      </c>
      <c r="F189" s="46">
        <v>545</v>
      </c>
    </row>
    <row r="190" spans="1:6">
      <c r="A190" s="488" t="s">
        <v>336</v>
      </c>
      <c r="B190" s="488" t="s">
        <v>337</v>
      </c>
      <c r="C190" s="757" t="s">
        <v>1639</v>
      </c>
      <c r="D190" s="488" t="s">
        <v>2467</v>
      </c>
      <c r="E190" s="101">
        <v>43366</v>
      </c>
      <c r="F190" s="46">
        <v>670</v>
      </c>
    </row>
    <row r="191" spans="1:6">
      <c r="A191" s="488" t="s">
        <v>787</v>
      </c>
      <c r="B191" s="488" t="s">
        <v>480</v>
      </c>
      <c r="C191" s="757" t="s">
        <v>1640</v>
      </c>
      <c r="D191" s="488" t="s">
        <v>103</v>
      </c>
      <c r="E191" s="101">
        <v>43366</v>
      </c>
      <c r="F191" s="46">
        <v>963</v>
      </c>
    </row>
    <row r="192" spans="1:6">
      <c r="A192" s="488" t="s">
        <v>788</v>
      </c>
      <c r="B192" s="488" t="s">
        <v>474</v>
      </c>
      <c r="C192" s="757" t="s">
        <v>1641</v>
      </c>
      <c r="D192" s="488" t="s">
        <v>2501</v>
      </c>
      <c r="E192" s="101">
        <v>43366</v>
      </c>
      <c r="F192" s="46">
        <v>10000</v>
      </c>
    </row>
    <row r="193" spans="1:6">
      <c r="A193" s="488" t="s">
        <v>320</v>
      </c>
      <c r="B193" s="488" t="s">
        <v>321</v>
      </c>
      <c r="C193" s="757" t="s">
        <v>1642</v>
      </c>
      <c r="D193" s="488" t="s">
        <v>2471</v>
      </c>
      <c r="E193" s="101">
        <v>43366</v>
      </c>
      <c r="F193" s="46">
        <v>1471.23</v>
      </c>
    </row>
    <row r="194" spans="1:6">
      <c r="A194" s="488" t="s">
        <v>457</v>
      </c>
      <c r="B194" s="488" t="s">
        <v>458</v>
      </c>
      <c r="C194" s="757" t="s">
        <v>1643</v>
      </c>
      <c r="D194" s="488" t="s">
        <v>2472</v>
      </c>
      <c r="E194" s="101">
        <v>43366</v>
      </c>
      <c r="F194" s="46">
        <v>2380</v>
      </c>
    </row>
    <row r="195" spans="1:6">
      <c r="A195" s="488" t="s">
        <v>790</v>
      </c>
      <c r="B195" s="488" t="s">
        <v>398</v>
      </c>
      <c r="C195" s="757" t="s">
        <v>1644</v>
      </c>
      <c r="D195" s="488" t="s">
        <v>2494</v>
      </c>
      <c r="E195" s="101">
        <v>43367</v>
      </c>
      <c r="F195" s="46">
        <v>573.80999999999995</v>
      </c>
    </row>
    <row r="196" spans="1:6">
      <c r="A196" s="488" t="s">
        <v>1652</v>
      </c>
      <c r="B196" s="488" t="s">
        <v>2512</v>
      </c>
      <c r="C196" s="757" t="s">
        <v>1653</v>
      </c>
      <c r="D196" s="488" t="s">
        <v>2493</v>
      </c>
      <c r="E196" s="101">
        <v>43367</v>
      </c>
      <c r="F196" s="46">
        <v>1445</v>
      </c>
    </row>
    <row r="197" spans="1:6">
      <c r="A197" s="488" t="s">
        <v>350</v>
      </c>
      <c r="B197" s="488" t="s">
        <v>351</v>
      </c>
      <c r="C197" s="757" t="s">
        <v>1654</v>
      </c>
      <c r="D197" s="488" t="s">
        <v>2469</v>
      </c>
      <c r="E197" s="101">
        <v>43367</v>
      </c>
      <c r="F197" s="46">
        <v>500</v>
      </c>
    </row>
    <row r="198" spans="1:6">
      <c r="A198" s="488" t="s">
        <v>350</v>
      </c>
      <c r="B198" s="488" t="s">
        <v>351</v>
      </c>
      <c r="C198" s="757" t="s">
        <v>1645</v>
      </c>
      <c r="D198" s="488" t="s">
        <v>2469</v>
      </c>
      <c r="E198" s="101">
        <v>43367</v>
      </c>
      <c r="F198" s="46">
        <v>592.97</v>
      </c>
    </row>
    <row r="199" spans="1:6">
      <c r="A199" s="488" t="s">
        <v>789</v>
      </c>
      <c r="B199" s="488" t="s">
        <v>504</v>
      </c>
      <c r="C199" s="757" t="s">
        <v>1646</v>
      </c>
      <c r="D199" s="488" t="s">
        <v>103</v>
      </c>
      <c r="E199" s="101">
        <v>43367</v>
      </c>
      <c r="F199" s="46">
        <v>1050.9000000000001</v>
      </c>
    </row>
    <row r="200" spans="1:6">
      <c r="A200" s="488" t="s">
        <v>742</v>
      </c>
      <c r="B200" s="488" t="s">
        <v>415</v>
      </c>
      <c r="C200" s="757" t="s">
        <v>1647</v>
      </c>
      <c r="D200" s="488" t="s">
        <v>2465</v>
      </c>
      <c r="E200" s="101">
        <v>43367</v>
      </c>
      <c r="F200" s="46">
        <v>893.02</v>
      </c>
    </row>
    <row r="201" spans="1:6">
      <c r="A201" s="488" t="s">
        <v>1437</v>
      </c>
      <c r="B201" s="488" t="s">
        <v>1438</v>
      </c>
      <c r="C201" s="757" t="s">
        <v>1651</v>
      </c>
      <c r="D201" s="488" t="s">
        <v>2467</v>
      </c>
      <c r="E201" s="101">
        <v>43367</v>
      </c>
      <c r="F201" s="46">
        <v>470</v>
      </c>
    </row>
    <row r="202" spans="1:6">
      <c r="A202" s="488" t="s">
        <v>340</v>
      </c>
      <c r="B202" s="488" t="s">
        <v>341</v>
      </c>
      <c r="C202" s="757" t="s">
        <v>1648</v>
      </c>
      <c r="D202" s="488" t="s">
        <v>2468</v>
      </c>
      <c r="E202" s="101">
        <v>43367</v>
      </c>
      <c r="F202" s="46">
        <v>424.48</v>
      </c>
    </row>
    <row r="203" spans="1:6">
      <c r="A203" s="488" t="s">
        <v>682</v>
      </c>
      <c r="B203" s="488" t="s">
        <v>683</v>
      </c>
      <c r="C203" s="757" t="s">
        <v>1649</v>
      </c>
      <c r="D203" s="488" t="s">
        <v>2468</v>
      </c>
      <c r="E203" s="101">
        <v>43367</v>
      </c>
      <c r="F203" s="46">
        <v>3000</v>
      </c>
    </row>
    <row r="204" spans="1:6">
      <c r="A204" s="488" t="s">
        <v>510</v>
      </c>
      <c r="B204" s="488" t="s">
        <v>511</v>
      </c>
      <c r="C204" s="757" t="s">
        <v>1650</v>
      </c>
      <c r="D204" s="488" t="s">
        <v>2467</v>
      </c>
      <c r="E204" s="101">
        <v>43367</v>
      </c>
      <c r="F204" s="46">
        <v>2480</v>
      </c>
    </row>
    <row r="205" spans="1:6">
      <c r="A205" s="488" t="s">
        <v>338</v>
      </c>
      <c r="B205" s="488" t="s">
        <v>339</v>
      </c>
      <c r="C205" s="757" t="s">
        <v>1655</v>
      </c>
      <c r="D205" s="488" t="s">
        <v>2476</v>
      </c>
      <c r="E205" s="101">
        <v>43368</v>
      </c>
      <c r="F205" s="46">
        <v>2260</v>
      </c>
    </row>
    <row r="206" spans="1:6">
      <c r="A206" s="488" t="s">
        <v>1433</v>
      </c>
      <c r="B206" s="488" t="s">
        <v>1434</v>
      </c>
      <c r="C206" s="757" t="s">
        <v>1674</v>
      </c>
      <c r="D206" s="488" t="s">
        <v>2468</v>
      </c>
      <c r="E206" s="101">
        <v>43368</v>
      </c>
      <c r="F206" s="46">
        <v>500</v>
      </c>
    </row>
    <row r="207" spans="1:6">
      <c r="A207" s="488" t="s">
        <v>409</v>
      </c>
      <c r="B207" s="488" t="s">
        <v>410</v>
      </c>
      <c r="C207" s="757" t="s">
        <v>1656</v>
      </c>
      <c r="D207" s="488" t="s">
        <v>2468</v>
      </c>
      <c r="E207" s="101">
        <v>43368</v>
      </c>
      <c r="F207" s="46">
        <v>675</v>
      </c>
    </row>
    <row r="208" spans="1:6">
      <c r="A208" s="488" t="s">
        <v>791</v>
      </c>
      <c r="B208" s="488" t="s">
        <v>792</v>
      </c>
      <c r="C208" s="757" t="s">
        <v>1657</v>
      </c>
      <c r="D208" s="488" t="s">
        <v>2487</v>
      </c>
      <c r="E208" s="101">
        <v>43368</v>
      </c>
      <c r="F208" s="46">
        <v>1024.27</v>
      </c>
    </row>
    <row r="209" spans="1:6">
      <c r="A209" s="488" t="s">
        <v>1671</v>
      </c>
      <c r="B209" s="488" t="s">
        <v>878</v>
      </c>
      <c r="C209" s="757" t="s">
        <v>1672</v>
      </c>
      <c r="D209" s="488" t="s">
        <v>2465</v>
      </c>
      <c r="E209" s="101">
        <v>43368</v>
      </c>
      <c r="F209" s="46">
        <v>311.58</v>
      </c>
    </row>
    <row r="210" spans="1:6">
      <c r="A210" s="488" t="s">
        <v>793</v>
      </c>
      <c r="B210" s="488" t="s">
        <v>481</v>
      </c>
      <c r="C210" s="757" t="s">
        <v>1658</v>
      </c>
      <c r="D210" s="488" t="s">
        <v>2472</v>
      </c>
      <c r="E210" s="101">
        <v>43368</v>
      </c>
      <c r="F210" s="46">
        <v>1373.99</v>
      </c>
    </row>
    <row r="211" spans="1:6">
      <c r="A211" s="488" t="s">
        <v>794</v>
      </c>
      <c r="B211" s="488" t="s">
        <v>482</v>
      </c>
      <c r="C211" s="757" t="s">
        <v>1659</v>
      </c>
      <c r="D211" s="488" t="s">
        <v>2470</v>
      </c>
      <c r="E211" s="101">
        <v>43368</v>
      </c>
      <c r="F211" s="46">
        <v>2278.35</v>
      </c>
    </row>
    <row r="212" spans="1:6">
      <c r="A212" s="488" t="s">
        <v>787</v>
      </c>
      <c r="B212" s="488" t="s">
        <v>480</v>
      </c>
      <c r="C212" s="757" t="s">
        <v>1660</v>
      </c>
      <c r="D212" s="488" t="s">
        <v>103</v>
      </c>
      <c r="E212" s="101">
        <v>43368</v>
      </c>
      <c r="F212" s="46">
        <v>963</v>
      </c>
    </row>
    <row r="213" spans="1:6">
      <c r="A213" s="488" t="s">
        <v>634</v>
      </c>
      <c r="B213" s="488" t="s">
        <v>635</v>
      </c>
      <c r="C213" s="757" t="s">
        <v>1661</v>
      </c>
      <c r="D213" s="488" t="s">
        <v>2472</v>
      </c>
      <c r="E213" s="101">
        <v>43368</v>
      </c>
      <c r="F213" s="46">
        <v>263.44</v>
      </c>
    </row>
    <row r="214" spans="1:6">
      <c r="A214" s="488" t="s">
        <v>375</v>
      </c>
      <c r="B214" s="488" t="s">
        <v>376</v>
      </c>
      <c r="C214" s="757" t="s">
        <v>1662</v>
      </c>
      <c r="D214" s="488" t="s">
        <v>2511</v>
      </c>
      <c r="E214" s="101">
        <v>43368</v>
      </c>
      <c r="F214" s="46">
        <v>950</v>
      </c>
    </row>
    <row r="215" spans="1:6">
      <c r="A215" s="488" t="s">
        <v>483</v>
      </c>
      <c r="B215" s="488" t="s">
        <v>484</v>
      </c>
      <c r="C215" s="757" t="s">
        <v>1670</v>
      </c>
      <c r="D215" s="488" t="s">
        <v>2464</v>
      </c>
      <c r="E215" s="101">
        <v>43368</v>
      </c>
      <c r="F215" s="46">
        <v>2068.98</v>
      </c>
    </row>
    <row r="216" spans="1:6">
      <c r="A216" s="488" t="s">
        <v>340</v>
      </c>
      <c r="B216" s="488" t="s">
        <v>341</v>
      </c>
      <c r="C216" s="757" t="s">
        <v>1673</v>
      </c>
      <c r="D216" s="488" t="s">
        <v>2468</v>
      </c>
      <c r="E216" s="101">
        <v>43368</v>
      </c>
      <c r="F216" s="46">
        <v>666.66</v>
      </c>
    </row>
    <row r="217" spans="1:6">
      <c r="A217" s="488" t="s">
        <v>418</v>
      </c>
      <c r="B217" s="488" t="s">
        <v>419</v>
      </c>
      <c r="C217" s="757" t="s">
        <v>1663</v>
      </c>
      <c r="D217" s="488" t="s">
        <v>2466</v>
      </c>
      <c r="E217" s="101">
        <v>43368</v>
      </c>
      <c r="F217" s="46">
        <v>1015</v>
      </c>
    </row>
    <row r="218" spans="1:6">
      <c r="A218" s="488" t="s">
        <v>486</v>
      </c>
      <c r="B218" s="488" t="s">
        <v>487</v>
      </c>
      <c r="C218" s="757" t="s">
        <v>1664</v>
      </c>
      <c r="D218" s="488" t="s">
        <v>103</v>
      </c>
      <c r="E218" s="101">
        <v>43368</v>
      </c>
      <c r="F218" s="46">
        <v>2752.04</v>
      </c>
    </row>
    <row r="219" spans="1:6">
      <c r="A219" s="488" t="s">
        <v>442</v>
      </c>
      <c r="B219" s="488" t="s">
        <v>443</v>
      </c>
      <c r="C219" s="757" t="s">
        <v>1665</v>
      </c>
      <c r="D219" s="488" t="s">
        <v>2472</v>
      </c>
      <c r="E219" s="101">
        <v>43368</v>
      </c>
      <c r="F219" s="46">
        <v>655</v>
      </c>
    </row>
    <row r="220" spans="1:6">
      <c r="A220" s="488" t="s">
        <v>450</v>
      </c>
      <c r="B220" s="488" t="s">
        <v>451</v>
      </c>
      <c r="C220" s="757" t="s">
        <v>2513</v>
      </c>
      <c r="D220" s="488" t="s">
        <v>2514</v>
      </c>
      <c r="E220" s="101">
        <v>43368</v>
      </c>
      <c r="F220" s="46">
        <v>270</v>
      </c>
    </row>
    <row r="221" spans="1:6">
      <c r="A221" s="488" t="s">
        <v>2515</v>
      </c>
      <c r="B221" s="488" t="s">
        <v>956</v>
      </c>
      <c r="C221" s="757" t="s">
        <v>2516</v>
      </c>
      <c r="D221" s="488" t="s">
        <v>2466</v>
      </c>
      <c r="E221" s="101">
        <v>43368</v>
      </c>
      <c r="F221" s="46">
        <v>15687.67</v>
      </c>
    </row>
    <row r="222" spans="1:6">
      <c r="A222" s="488" t="s">
        <v>660</v>
      </c>
      <c r="B222" s="488" t="s">
        <v>661</v>
      </c>
      <c r="C222" s="757" t="s">
        <v>1666</v>
      </c>
      <c r="D222" s="488" t="s">
        <v>2472</v>
      </c>
      <c r="E222" s="101">
        <v>43368</v>
      </c>
      <c r="F222" s="46">
        <v>2360.75</v>
      </c>
    </row>
    <row r="223" spans="1:6">
      <c r="A223" s="488" t="s">
        <v>583</v>
      </c>
      <c r="B223" s="488" t="s">
        <v>584</v>
      </c>
      <c r="C223" s="757" t="s">
        <v>1667</v>
      </c>
      <c r="D223" s="488" t="s">
        <v>2478</v>
      </c>
      <c r="E223" s="101">
        <v>43368</v>
      </c>
      <c r="F223" s="46">
        <v>605.98</v>
      </c>
    </row>
    <row r="224" spans="1:6">
      <c r="A224" s="488" t="s">
        <v>393</v>
      </c>
      <c r="B224" s="488" t="s">
        <v>394</v>
      </c>
      <c r="C224" s="757" t="s">
        <v>1669</v>
      </c>
      <c r="D224" s="488" t="s">
        <v>2468</v>
      </c>
      <c r="E224" s="101">
        <v>43368</v>
      </c>
      <c r="F224" s="46">
        <v>1882.85</v>
      </c>
    </row>
    <row r="225" spans="1:6">
      <c r="A225" s="488" t="s">
        <v>393</v>
      </c>
      <c r="B225" s="488" t="s">
        <v>394</v>
      </c>
      <c r="C225" s="757" t="s">
        <v>1668</v>
      </c>
      <c r="D225" s="488" t="s">
        <v>2468</v>
      </c>
      <c r="E225" s="101">
        <v>43368</v>
      </c>
      <c r="F225" s="46">
        <v>2000</v>
      </c>
    </row>
    <row r="226" spans="1:6">
      <c r="A226" s="488" t="s">
        <v>497</v>
      </c>
      <c r="B226" s="488" t="s">
        <v>498</v>
      </c>
      <c r="C226" s="757" t="s">
        <v>1675</v>
      </c>
      <c r="D226" s="488" t="s">
        <v>2494</v>
      </c>
      <c r="E226" s="101">
        <v>43369</v>
      </c>
      <c r="F226" s="46">
        <v>820</v>
      </c>
    </row>
    <row r="227" spans="1:6">
      <c r="A227" s="488" t="s">
        <v>348</v>
      </c>
      <c r="B227" s="488" t="s">
        <v>349</v>
      </c>
      <c r="C227" s="757" t="s">
        <v>1676</v>
      </c>
      <c r="D227" s="488" t="s">
        <v>2468</v>
      </c>
      <c r="E227" s="101">
        <v>43369</v>
      </c>
      <c r="F227" s="46">
        <v>654.35</v>
      </c>
    </row>
    <row r="228" spans="1:6">
      <c r="A228" s="488" t="s">
        <v>488</v>
      </c>
      <c r="B228" s="488" t="s">
        <v>489</v>
      </c>
      <c r="C228" s="757" t="s">
        <v>1677</v>
      </c>
      <c r="D228" s="488" t="s">
        <v>2517</v>
      </c>
      <c r="E228" s="101">
        <v>43369</v>
      </c>
      <c r="F228" s="46">
        <v>2027.8</v>
      </c>
    </row>
    <row r="229" spans="1:6">
      <c r="A229" s="488" t="s">
        <v>466</v>
      </c>
      <c r="B229" s="488" t="s">
        <v>467</v>
      </c>
      <c r="C229" s="757" t="s">
        <v>1678</v>
      </c>
      <c r="D229" s="488" t="s">
        <v>2468</v>
      </c>
      <c r="E229" s="101">
        <v>43369</v>
      </c>
      <c r="F229" s="46">
        <v>1400</v>
      </c>
    </row>
    <row r="230" spans="1:6">
      <c r="A230" s="488" t="s">
        <v>346</v>
      </c>
      <c r="B230" s="488" t="s">
        <v>347</v>
      </c>
      <c r="C230" s="757" t="s">
        <v>1679</v>
      </c>
      <c r="D230" s="488" t="s">
        <v>103</v>
      </c>
      <c r="E230" s="101">
        <v>43369</v>
      </c>
      <c r="F230" s="46">
        <v>3000</v>
      </c>
    </row>
    <row r="231" spans="1:6">
      <c r="A231" s="488" t="s">
        <v>397</v>
      </c>
      <c r="B231" s="488" t="s">
        <v>398</v>
      </c>
      <c r="C231" s="757" t="s">
        <v>2518</v>
      </c>
      <c r="D231" s="488" t="s">
        <v>2493</v>
      </c>
      <c r="E231" s="101">
        <v>43370</v>
      </c>
      <c r="F231" s="46">
        <v>481.2</v>
      </c>
    </row>
    <row r="232" spans="1:6">
      <c r="A232" s="488" t="s">
        <v>326</v>
      </c>
      <c r="B232" s="488" t="s">
        <v>327</v>
      </c>
      <c r="C232" s="757" t="s">
        <v>1680</v>
      </c>
      <c r="D232" s="488" t="s">
        <v>2468</v>
      </c>
      <c r="E232" s="101">
        <v>43370</v>
      </c>
      <c r="F232" s="46">
        <v>1500</v>
      </c>
    </row>
    <row r="233" spans="1:6">
      <c r="A233" s="488" t="s">
        <v>350</v>
      </c>
      <c r="B233" s="488" t="s">
        <v>351</v>
      </c>
      <c r="C233" s="757" t="s">
        <v>1685</v>
      </c>
      <c r="D233" s="488" t="s">
        <v>2469</v>
      </c>
      <c r="E233" s="101">
        <v>43370</v>
      </c>
      <c r="F233" s="46">
        <v>500</v>
      </c>
    </row>
    <row r="234" spans="1:6">
      <c r="A234" s="488" t="s">
        <v>429</v>
      </c>
      <c r="B234" s="488" t="s">
        <v>430</v>
      </c>
      <c r="C234" s="757" t="s">
        <v>1681</v>
      </c>
      <c r="D234" s="488" t="s">
        <v>2462</v>
      </c>
      <c r="E234" s="101">
        <v>43370</v>
      </c>
      <c r="F234" s="46">
        <v>928.93</v>
      </c>
    </row>
    <row r="235" spans="1:6">
      <c r="A235" s="488" t="s">
        <v>356</v>
      </c>
      <c r="B235" s="488" t="s">
        <v>357</v>
      </c>
      <c r="C235" s="757" t="s">
        <v>1682</v>
      </c>
      <c r="D235" s="488" t="s">
        <v>2465</v>
      </c>
      <c r="E235" s="101">
        <v>43370</v>
      </c>
      <c r="F235" s="46">
        <v>4290.1000000000004</v>
      </c>
    </row>
    <row r="236" spans="1:6">
      <c r="A236" s="488" t="s">
        <v>787</v>
      </c>
      <c r="B236" s="488" t="s">
        <v>480</v>
      </c>
      <c r="C236" s="757" t="s">
        <v>1683</v>
      </c>
      <c r="D236" s="488" t="s">
        <v>103</v>
      </c>
      <c r="E236" s="101">
        <v>43370</v>
      </c>
      <c r="F236" s="46">
        <v>963</v>
      </c>
    </row>
    <row r="237" spans="1:6">
      <c r="A237" s="488" t="s">
        <v>501</v>
      </c>
      <c r="B237" s="488" t="s">
        <v>502</v>
      </c>
      <c r="C237" s="757" t="s">
        <v>1684</v>
      </c>
      <c r="D237" s="488" t="s">
        <v>2472</v>
      </c>
      <c r="E237" s="101">
        <v>43370</v>
      </c>
      <c r="F237" s="46">
        <v>7381.11</v>
      </c>
    </row>
    <row r="238" spans="1:6">
      <c r="A238" s="488" t="s">
        <v>512</v>
      </c>
      <c r="B238" s="488" t="s">
        <v>498</v>
      </c>
      <c r="C238" s="757" t="s">
        <v>2519</v>
      </c>
      <c r="D238" s="488" t="s">
        <v>2493</v>
      </c>
      <c r="E238" s="101">
        <v>43371</v>
      </c>
      <c r="F238" s="46">
        <v>737.33</v>
      </c>
    </row>
    <row r="239" spans="1:6">
      <c r="A239" s="488" t="s">
        <v>350</v>
      </c>
      <c r="B239" s="488" t="s">
        <v>351</v>
      </c>
      <c r="C239" s="757" t="s">
        <v>1686</v>
      </c>
      <c r="D239" s="488" t="s">
        <v>2469</v>
      </c>
      <c r="E239" s="101">
        <v>43371</v>
      </c>
      <c r="F239" s="46">
        <v>592.97</v>
      </c>
    </row>
    <row r="240" spans="1:6">
      <c r="A240" s="488" t="s">
        <v>1691</v>
      </c>
      <c r="B240" s="488" t="s">
        <v>2520</v>
      </c>
      <c r="C240" s="757" t="s">
        <v>1692</v>
      </c>
      <c r="D240" s="488" t="s">
        <v>2472</v>
      </c>
      <c r="E240" s="101">
        <v>43371</v>
      </c>
      <c r="F240" s="46">
        <v>2000</v>
      </c>
    </row>
    <row r="241" spans="1:6">
      <c r="A241" s="488" t="s">
        <v>746</v>
      </c>
      <c r="B241" s="488" t="s">
        <v>534</v>
      </c>
      <c r="C241" s="757" t="s">
        <v>1687</v>
      </c>
      <c r="D241" s="488" t="s">
        <v>2497</v>
      </c>
      <c r="E241" s="101">
        <v>43371</v>
      </c>
      <c r="F241" s="46">
        <v>7026</v>
      </c>
    </row>
    <row r="242" spans="1:6">
      <c r="A242" s="488" t="s">
        <v>495</v>
      </c>
      <c r="B242" s="488" t="s">
        <v>496</v>
      </c>
      <c r="C242" s="757" t="s">
        <v>1688</v>
      </c>
      <c r="D242" s="488" t="s">
        <v>2476</v>
      </c>
      <c r="E242" s="101">
        <v>43371</v>
      </c>
      <c r="F242" s="46">
        <v>9263.56</v>
      </c>
    </row>
    <row r="243" spans="1:6">
      <c r="A243" s="488" t="s">
        <v>475</v>
      </c>
      <c r="B243" s="488" t="s">
        <v>476</v>
      </c>
      <c r="C243" s="757" t="s">
        <v>1689</v>
      </c>
      <c r="D243" s="488" t="s">
        <v>103</v>
      </c>
      <c r="E243" s="101">
        <v>43371</v>
      </c>
      <c r="F243" s="46">
        <v>1500</v>
      </c>
    </row>
    <row r="244" spans="1:6">
      <c r="A244" s="488" t="s">
        <v>724</v>
      </c>
      <c r="B244" s="488" t="s">
        <v>725</v>
      </c>
      <c r="C244" s="757" t="s">
        <v>1690</v>
      </c>
      <c r="D244" s="488" t="s">
        <v>2521</v>
      </c>
      <c r="E244" s="101">
        <v>43371</v>
      </c>
      <c r="F244" s="46">
        <v>988.54</v>
      </c>
    </row>
    <row r="245" spans="1:6">
      <c r="A245" s="488" t="s">
        <v>468</v>
      </c>
      <c r="B245" s="488" t="s">
        <v>469</v>
      </c>
      <c r="C245" s="757" t="s">
        <v>1693</v>
      </c>
      <c r="D245" s="488" t="s">
        <v>103</v>
      </c>
      <c r="E245" s="101">
        <v>43372</v>
      </c>
      <c r="F245" s="46">
        <v>2417.17</v>
      </c>
    </row>
    <row r="246" spans="1:6">
      <c r="A246" s="488" t="s">
        <v>797</v>
      </c>
      <c r="B246" s="488" t="s">
        <v>798</v>
      </c>
      <c r="C246" s="757" t="s">
        <v>1694</v>
      </c>
      <c r="D246" s="488" t="s">
        <v>2468</v>
      </c>
      <c r="E246" s="101">
        <v>43372</v>
      </c>
      <c r="F246" s="46">
        <v>7537.57</v>
      </c>
    </row>
    <row r="247" spans="1:6">
      <c r="A247" s="488" t="s">
        <v>787</v>
      </c>
      <c r="B247" s="488" t="s">
        <v>480</v>
      </c>
      <c r="C247" s="757" t="s">
        <v>1695</v>
      </c>
      <c r="D247" s="488" t="s">
        <v>103</v>
      </c>
      <c r="E247" s="101">
        <v>43372</v>
      </c>
      <c r="F247" s="46">
        <v>962</v>
      </c>
    </row>
    <row r="248" spans="1:6">
      <c r="A248" s="488" t="s">
        <v>426</v>
      </c>
      <c r="B248" s="488" t="s">
        <v>427</v>
      </c>
      <c r="C248" s="757" t="s">
        <v>1696</v>
      </c>
      <c r="D248" s="488" t="s">
        <v>2463</v>
      </c>
      <c r="E248" s="101">
        <v>43372</v>
      </c>
      <c r="F248" s="46">
        <v>509.33</v>
      </c>
    </row>
    <row r="249" spans="1:6">
      <c r="A249" s="488" t="s">
        <v>416</v>
      </c>
      <c r="B249" s="488" t="s">
        <v>417</v>
      </c>
      <c r="C249" s="757" t="s">
        <v>1697</v>
      </c>
      <c r="D249" s="488" t="s">
        <v>2468</v>
      </c>
      <c r="E249" s="101">
        <v>43372</v>
      </c>
      <c r="F249" s="46">
        <v>103.3</v>
      </c>
    </row>
    <row r="250" spans="1:6">
      <c r="A250" s="488" t="s">
        <v>795</v>
      </c>
      <c r="B250" s="488" t="s">
        <v>796</v>
      </c>
      <c r="C250" s="757" t="s">
        <v>1698</v>
      </c>
      <c r="D250" s="488" t="s">
        <v>2478</v>
      </c>
      <c r="E250" s="101">
        <v>43372</v>
      </c>
      <c r="F250" s="46">
        <v>1594.07</v>
      </c>
    </row>
    <row r="251" spans="1:6">
      <c r="A251" s="488" t="s">
        <v>420</v>
      </c>
      <c r="B251" s="488" t="s">
        <v>421</v>
      </c>
      <c r="C251" s="757" t="s">
        <v>1699</v>
      </c>
      <c r="D251" s="488" t="s">
        <v>2468</v>
      </c>
      <c r="E251" s="101">
        <v>43372</v>
      </c>
      <c r="F251" s="46">
        <v>2746.27</v>
      </c>
    </row>
    <row r="252" spans="1:6">
      <c r="A252" s="488" t="s">
        <v>1700</v>
      </c>
      <c r="B252" s="488" t="s">
        <v>1701</v>
      </c>
      <c r="C252" s="757" t="s">
        <v>1702</v>
      </c>
      <c r="D252" s="488" t="s">
        <v>103</v>
      </c>
      <c r="E252" s="101">
        <v>43373</v>
      </c>
      <c r="F252" s="46">
        <v>320</v>
      </c>
    </row>
    <row r="253" spans="1:6">
      <c r="A253" s="488" t="s">
        <v>664</v>
      </c>
      <c r="B253" s="488" t="s">
        <v>665</v>
      </c>
      <c r="C253" s="757" t="s">
        <v>1703</v>
      </c>
      <c r="D253" s="488" t="s">
        <v>2468</v>
      </c>
      <c r="E253" s="101">
        <v>43373</v>
      </c>
      <c r="F253" s="46">
        <v>1238.8499999999999</v>
      </c>
    </row>
    <row r="254" spans="1:6">
      <c r="A254" s="488" t="s">
        <v>867</v>
      </c>
      <c r="B254" s="488" t="s">
        <v>868</v>
      </c>
      <c r="C254" s="757" t="s">
        <v>1704</v>
      </c>
      <c r="D254" s="488" t="s">
        <v>2463</v>
      </c>
      <c r="E254" s="101">
        <v>43373</v>
      </c>
      <c r="F254" s="46">
        <v>1646.41</v>
      </c>
    </row>
    <row r="255" spans="1:6">
      <c r="A255" s="488" t="s">
        <v>326</v>
      </c>
      <c r="B255" s="488" t="s">
        <v>327</v>
      </c>
      <c r="C255" s="757" t="s">
        <v>1705</v>
      </c>
      <c r="D255" s="488" t="s">
        <v>2468</v>
      </c>
      <c r="E255" s="101">
        <v>43373</v>
      </c>
      <c r="F255" s="46">
        <v>1500</v>
      </c>
    </row>
    <row r="256" spans="1:6">
      <c r="A256" s="488" t="s">
        <v>401</v>
      </c>
      <c r="B256" s="488" t="s">
        <v>402</v>
      </c>
      <c r="C256" s="757" t="s">
        <v>1706</v>
      </c>
      <c r="D256" s="488" t="s">
        <v>2468</v>
      </c>
      <c r="E256" s="101">
        <v>43373</v>
      </c>
      <c r="F256" s="46">
        <v>3745.5</v>
      </c>
    </row>
    <row r="257" spans="1:6">
      <c r="A257" s="488" t="s">
        <v>336</v>
      </c>
      <c r="B257" s="488" t="s">
        <v>337</v>
      </c>
      <c r="C257" s="757" t="s">
        <v>1707</v>
      </c>
      <c r="D257" s="488" t="s">
        <v>2467</v>
      </c>
      <c r="E257" s="101">
        <v>43373</v>
      </c>
      <c r="F257" s="46">
        <v>686.28</v>
      </c>
    </row>
    <row r="258" spans="1:6">
      <c r="A258" s="488" t="s">
        <v>666</v>
      </c>
      <c r="B258" s="488" t="s">
        <v>667</v>
      </c>
      <c r="C258" s="757" t="s">
        <v>1708</v>
      </c>
      <c r="D258" s="488" t="s">
        <v>2463</v>
      </c>
      <c r="E258" s="101">
        <v>43373</v>
      </c>
      <c r="F258" s="46">
        <v>2092.5300000000002</v>
      </c>
    </row>
    <row r="259" spans="1:6">
      <c r="A259" s="488" t="s">
        <v>668</v>
      </c>
      <c r="B259" s="488" t="s">
        <v>669</v>
      </c>
      <c r="C259" s="757" t="s">
        <v>1709</v>
      </c>
      <c r="D259" s="488" t="s">
        <v>2468</v>
      </c>
      <c r="E259" s="101">
        <v>43373</v>
      </c>
      <c r="F259" s="46">
        <v>698.91</v>
      </c>
    </row>
    <row r="260" spans="1:6">
      <c r="A260" s="488" t="s">
        <v>784</v>
      </c>
      <c r="B260" s="488" t="s">
        <v>594</v>
      </c>
      <c r="C260" s="757" t="s">
        <v>1710</v>
      </c>
      <c r="D260" s="488" t="s">
        <v>2470</v>
      </c>
      <c r="E260" s="101">
        <v>43373</v>
      </c>
      <c r="F260" s="46">
        <v>950.77</v>
      </c>
    </row>
    <row r="261" spans="1:6">
      <c r="A261" s="488" t="s">
        <v>1454</v>
      </c>
      <c r="B261" s="488" t="s">
        <v>1455</v>
      </c>
      <c r="C261" s="757" t="s">
        <v>1845</v>
      </c>
      <c r="D261" s="488" t="s">
        <v>2493</v>
      </c>
      <c r="E261" s="101">
        <v>43373</v>
      </c>
      <c r="F261" s="46">
        <v>1751.9</v>
      </c>
    </row>
    <row r="262" spans="1:6">
      <c r="A262" s="488" t="s">
        <v>869</v>
      </c>
      <c r="B262" s="488" t="s">
        <v>595</v>
      </c>
      <c r="C262" s="757" t="s">
        <v>1711</v>
      </c>
      <c r="D262" s="488" t="s">
        <v>2466</v>
      </c>
      <c r="E262" s="101">
        <v>43373</v>
      </c>
      <c r="F262" s="46">
        <v>6063.6</v>
      </c>
    </row>
    <row r="263" spans="1:6">
      <c r="A263" s="488" t="s">
        <v>853</v>
      </c>
      <c r="B263" s="488" t="s">
        <v>854</v>
      </c>
      <c r="C263" s="757" t="s">
        <v>1712</v>
      </c>
      <c r="D263" s="488" t="s">
        <v>2468</v>
      </c>
      <c r="E263" s="101">
        <v>43373</v>
      </c>
      <c r="F263" s="46">
        <v>1659.61</v>
      </c>
    </row>
    <row r="264" spans="1:6">
      <c r="A264" s="488" t="s">
        <v>563</v>
      </c>
      <c r="B264" s="488" t="s">
        <v>492</v>
      </c>
      <c r="C264" s="757" t="s">
        <v>1713</v>
      </c>
      <c r="D264" s="488" t="s">
        <v>2468</v>
      </c>
      <c r="E264" s="101">
        <v>43373</v>
      </c>
      <c r="F264" s="46">
        <v>1232.73</v>
      </c>
    </row>
    <row r="265" spans="1:6">
      <c r="A265" s="488" t="s">
        <v>342</v>
      </c>
      <c r="B265" s="488" t="s">
        <v>343</v>
      </c>
      <c r="C265" s="757" t="s">
        <v>1846</v>
      </c>
      <c r="D265" s="488" t="s">
        <v>2468</v>
      </c>
      <c r="E265" s="101">
        <v>43373</v>
      </c>
      <c r="F265" s="46">
        <v>2391.0500000000002</v>
      </c>
    </row>
    <row r="266" spans="1:6">
      <c r="A266" s="488" t="s">
        <v>855</v>
      </c>
      <c r="B266" s="488" t="s">
        <v>856</v>
      </c>
      <c r="C266" s="757" t="s">
        <v>1714</v>
      </c>
      <c r="D266" s="488" t="s">
        <v>103</v>
      </c>
      <c r="E266" s="101">
        <v>43373</v>
      </c>
      <c r="F266" s="46">
        <v>4125.3</v>
      </c>
    </row>
    <row r="267" spans="1:6">
      <c r="A267" s="488" t="s">
        <v>657</v>
      </c>
      <c r="B267" s="488" t="s">
        <v>564</v>
      </c>
      <c r="C267" s="757" t="s">
        <v>1715</v>
      </c>
      <c r="D267" s="488" t="s">
        <v>2468</v>
      </c>
      <c r="E267" s="101">
        <v>43373</v>
      </c>
      <c r="F267" s="46">
        <v>4328.72</v>
      </c>
    </row>
    <row r="268" spans="1:6">
      <c r="A268" s="488" t="s">
        <v>857</v>
      </c>
      <c r="B268" s="488" t="s">
        <v>858</v>
      </c>
      <c r="C268" s="757" t="s">
        <v>1716</v>
      </c>
      <c r="D268" s="488" t="s">
        <v>2472</v>
      </c>
      <c r="E268" s="101">
        <v>43373</v>
      </c>
      <c r="F268" s="46">
        <v>2009</v>
      </c>
    </row>
    <row r="269" spans="1:6">
      <c r="A269" s="488" t="s">
        <v>565</v>
      </c>
      <c r="B269" s="488" t="s">
        <v>566</v>
      </c>
      <c r="C269" s="757" t="s">
        <v>1718</v>
      </c>
      <c r="D269" s="488" t="s">
        <v>2468</v>
      </c>
      <c r="E269" s="101">
        <v>43373</v>
      </c>
      <c r="F269" s="46">
        <v>4872.99</v>
      </c>
    </row>
    <row r="270" spans="1:6">
      <c r="A270" s="488" t="s">
        <v>565</v>
      </c>
      <c r="B270" s="488" t="s">
        <v>566</v>
      </c>
      <c r="C270" s="757" t="s">
        <v>1717</v>
      </c>
      <c r="D270" s="488" t="s">
        <v>2468</v>
      </c>
      <c r="E270" s="101">
        <v>43373</v>
      </c>
      <c r="F270" s="46">
        <v>5525.69</v>
      </c>
    </row>
    <row r="271" spans="1:6">
      <c r="A271" s="488" t="s">
        <v>859</v>
      </c>
      <c r="B271" s="488" t="s">
        <v>860</v>
      </c>
      <c r="C271" s="757" t="s">
        <v>1719</v>
      </c>
      <c r="D271" s="488" t="s">
        <v>2479</v>
      </c>
      <c r="E271" s="101">
        <v>43373</v>
      </c>
      <c r="F271" s="46">
        <v>1735.49</v>
      </c>
    </row>
    <row r="272" spans="1:6">
      <c r="A272" s="488" t="s">
        <v>322</v>
      </c>
      <c r="B272" s="488" t="s">
        <v>323</v>
      </c>
      <c r="C272" s="757" t="s">
        <v>1720</v>
      </c>
      <c r="D272" s="488" t="s">
        <v>2472</v>
      </c>
      <c r="E272" s="101">
        <v>43373</v>
      </c>
      <c r="F272" s="46">
        <v>2000</v>
      </c>
    </row>
    <row r="273" spans="1:6">
      <c r="A273" s="488" t="s">
        <v>569</v>
      </c>
      <c r="B273" s="488" t="s">
        <v>570</v>
      </c>
      <c r="C273" s="757" t="s">
        <v>1721</v>
      </c>
      <c r="D273" s="488" t="s">
        <v>2468</v>
      </c>
      <c r="E273" s="101">
        <v>43373</v>
      </c>
      <c r="F273" s="46">
        <v>2896.36</v>
      </c>
    </row>
    <row r="274" spans="1:6">
      <c r="A274" s="488" t="s">
        <v>861</v>
      </c>
      <c r="B274" s="488" t="s">
        <v>862</v>
      </c>
      <c r="C274" s="757" t="s">
        <v>1722</v>
      </c>
      <c r="D274" s="488" t="s">
        <v>2467</v>
      </c>
      <c r="E274" s="101">
        <v>43373</v>
      </c>
      <c r="F274" s="46">
        <v>2037.82</v>
      </c>
    </row>
    <row r="275" spans="1:6">
      <c r="A275" s="488" t="s">
        <v>596</v>
      </c>
      <c r="B275" s="488" t="s">
        <v>597</v>
      </c>
      <c r="C275" s="757" t="s">
        <v>1723</v>
      </c>
      <c r="D275" s="488" t="s">
        <v>2478</v>
      </c>
      <c r="E275" s="101">
        <v>43373</v>
      </c>
      <c r="F275" s="46">
        <v>4947.5</v>
      </c>
    </row>
    <row r="276" spans="1:6">
      <c r="A276" s="488" t="s">
        <v>405</v>
      </c>
      <c r="B276" s="488" t="s">
        <v>406</v>
      </c>
      <c r="C276" s="757" t="s">
        <v>1724</v>
      </c>
      <c r="D276" s="488" t="s">
        <v>2468</v>
      </c>
      <c r="E276" s="101">
        <v>43373</v>
      </c>
      <c r="F276" s="46">
        <v>7383.93</v>
      </c>
    </row>
    <row r="277" spans="1:6">
      <c r="A277" s="488" t="s">
        <v>598</v>
      </c>
      <c r="B277" s="488" t="s">
        <v>599</v>
      </c>
      <c r="C277" s="757" t="s">
        <v>1725</v>
      </c>
      <c r="D277" s="488" t="s">
        <v>2466</v>
      </c>
      <c r="E277" s="101">
        <v>43373</v>
      </c>
      <c r="F277" s="46">
        <v>1500</v>
      </c>
    </row>
    <row r="278" spans="1:6">
      <c r="A278" s="488" t="s">
        <v>600</v>
      </c>
      <c r="B278" s="488" t="s">
        <v>601</v>
      </c>
      <c r="C278" s="757" t="s">
        <v>1726</v>
      </c>
      <c r="D278" s="488" t="s">
        <v>103</v>
      </c>
      <c r="E278" s="101">
        <v>43373</v>
      </c>
      <c r="F278" s="46">
        <v>1643.72</v>
      </c>
    </row>
    <row r="279" spans="1:6">
      <c r="A279" s="488" t="s">
        <v>407</v>
      </c>
      <c r="B279" s="488" t="s">
        <v>408</v>
      </c>
      <c r="C279" s="757" t="s">
        <v>1727</v>
      </c>
      <c r="D279" s="488" t="s">
        <v>2472</v>
      </c>
      <c r="E279" s="101">
        <v>43373</v>
      </c>
      <c r="F279" s="46">
        <v>1920.64</v>
      </c>
    </row>
    <row r="280" spans="1:6">
      <c r="A280" s="488" t="s">
        <v>461</v>
      </c>
      <c r="B280" s="488" t="s">
        <v>462</v>
      </c>
      <c r="C280" s="757" t="s">
        <v>1728</v>
      </c>
      <c r="D280" s="488" t="s">
        <v>2468</v>
      </c>
      <c r="E280" s="101">
        <v>43373</v>
      </c>
      <c r="F280" s="46">
        <v>846.08</v>
      </c>
    </row>
    <row r="281" spans="1:6">
      <c r="A281" s="488" t="s">
        <v>409</v>
      </c>
      <c r="B281" s="488" t="s">
        <v>410</v>
      </c>
      <c r="C281" s="757" t="s">
        <v>1729</v>
      </c>
      <c r="D281" s="488" t="s">
        <v>2468</v>
      </c>
      <c r="E281" s="101">
        <v>43373</v>
      </c>
      <c r="F281" s="46">
        <v>655</v>
      </c>
    </row>
    <row r="282" spans="1:6">
      <c r="A282" s="488" t="s">
        <v>870</v>
      </c>
      <c r="B282" s="488" t="s">
        <v>871</v>
      </c>
      <c r="C282" s="757" t="s">
        <v>1730</v>
      </c>
      <c r="D282" s="488" t="s">
        <v>2468</v>
      </c>
      <c r="E282" s="101">
        <v>43373</v>
      </c>
      <c r="F282" s="46">
        <v>3763.38</v>
      </c>
    </row>
    <row r="283" spans="1:6">
      <c r="A283" s="488" t="s">
        <v>872</v>
      </c>
      <c r="B283" s="488" t="s">
        <v>671</v>
      </c>
      <c r="C283" s="757" t="s">
        <v>1731</v>
      </c>
      <c r="D283" s="488" t="s">
        <v>2470</v>
      </c>
      <c r="E283" s="101">
        <v>43373</v>
      </c>
      <c r="F283" s="46">
        <v>4054.13</v>
      </c>
    </row>
    <row r="284" spans="1:6">
      <c r="A284" s="488" t="s">
        <v>873</v>
      </c>
      <c r="B284" s="488" t="s">
        <v>874</v>
      </c>
      <c r="C284" s="757" t="s">
        <v>1732</v>
      </c>
      <c r="D284" s="488" t="s">
        <v>103</v>
      </c>
      <c r="E284" s="101">
        <v>43373</v>
      </c>
      <c r="F284" s="46">
        <v>1601.75</v>
      </c>
    </row>
    <row r="285" spans="1:6">
      <c r="A285" s="488" t="s">
        <v>602</v>
      </c>
      <c r="B285" s="488" t="s">
        <v>603</v>
      </c>
      <c r="C285" s="757" t="s">
        <v>1733</v>
      </c>
      <c r="D285" s="488" t="s">
        <v>103</v>
      </c>
      <c r="E285" s="101">
        <v>43373</v>
      </c>
      <c r="F285" s="46">
        <v>4035.72</v>
      </c>
    </row>
    <row r="286" spans="1:6">
      <c r="A286" s="488" t="s">
        <v>463</v>
      </c>
      <c r="B286" s="488" t="s">
        <v>464</v>
      </c>
      <c r="C286" s="757" t="s">
        <v>1844</v>
      </c>
      <c r="D286" s="488" t="s">
        <v>2479</v>
      </c>
      <c r="E286" s="101">
        <v>43373</v>
      </c>
      <c r="F286" s="46">
        <v>2469</v>
      </c>
    </row>
    <row r="287" spans="1:6">
      <c r="A287" s="488" t="s">
        <v>769</v>
      </c>
      <c r="B287" s="488" t="s">
        <v>770</v>
      </c>
      <c r="C287" s="757" t="s">
        <v>1743</v>
      </c>
      <c r="D287" s="488" t="s">
        <v>103</v>
      </c>
      <c r="E287" s="101">
        <v>43373</v>
      </c>
      <c r="F287" s="46">
        <v>389.87</v>
      </c>
    </row>
    <row r="288" spans="1:6">
      <c r="A288" s="488" t="s">
        <v>1829</v>
      </c>
      <c r="B288" s="488" t="s">
        <v>1830</v>
      </c>
      <c r="C288" s="757" t="s">
        <v>1831</v>
      </c>
      <c r="D288" s="488" t="s">
        <v>2467</v>
      </c>
      <c r="E288" s="101">
        <v>43373</v>
      </c>
      <c r="F288" s="46">
        <v>1200</v>
      </c>
    </row>
    <row r="289" spans="1:6">
      <c r="A289" s="488" t="s">
        <v>799</v>
      </c>
      <c r="B289" s="488" t="s">
        <v>800</v>
      </c>
      <c r="C289" s="757" t="s">
        <v>1734</v>
      </c>
      <c r="D289" s="488" t="s">
        <v>2464</v>
      </c>
      <c r="E289" s="101">
        <v>43373</v>
      </c>
      <c r="F289" s="46">
        <v>936</v>
      </c>
    </row>
    <row r="290" spans="1:6">
      <c r="A290" s="488" t="s">
        <v>517</v>
      </c>
      <c r="B290" s="488" t="s">
        <v>518</v>
      </c>
      <c r="C290" s="757" t="s">
        <v>1735</v>
      </c>
      <c r="D290" s="488" t="s">
        <v>2510</v>
      </c>
      <c r="E290" s="101">
        <v>43373</v>
      </c>
      <c r="F290" s="46">
        <v>926.35</v>
      </c>
    </row>
    <row r="291" spans="1:6">
      <c r="A291" s="488" t="s">
        <v>801</v>
      </c>
      <c r="B291" s="488" t="s">
        <v>604</v>
      </c>
      <c r="C291" s="757" t="s">
        <v>1736</v>
      </c>
      <c r="D291" s="488" t="s">
        <v>2511</v>
      </c>
      <c r="E291" s="101">
        <v>43373</v>
      </c>
      <c r="F291" s="46">
        <v>687.38</v>
      </c>
    </row>
    <row r="292" spans="1:6">
      <c r="A292" s="488" t="s">
        <v>605</v>
      </c>
      <c r="B292" s="488" t="s">
        <v>606</v>
      </c>
      <c r="C292" s="757" t="s">
        <v>1737</v>
      </c>
      <c r="D292" s="488" t="s">
        <v>2487</v>
      </c>
      <c r="E292" s="101">
        <v>43373</v>
      </c>
      <c r="F292" s="46">
        <v>7736.46</v>
      </c>
    </row>
    <row r="293" spans="1:6">
      <c r="A293" s="488" t="s">
        <v>470</v>
      </c>
      <c r="B293" s="488" t="s">
        <v>471</v>
      </c>
      <c r="C293" s="757" t="s">
        <v>1738</v>
      </c>
      <c r="D293" s="488" t="s">
        <v>2470</v>
      </c>
      <c r="E293" s="101">
        <v>43373</v>
      </c>
      <c r="F293" s="46">
        <v>5069.12</v>
      </c>
    </row>
    <row r="294" spans="1:6">
      <c r="A294" s="488" t="s">
        <v>609</v>
      </c>
      <c r="B294" s="488" t="s">
        <v>610</v>
      </c>
      <c r="C294" s="757" t="s">
        <v>1739</v>
      </c>
      <c r="D294" s="488" t="s">
        <v>2522</v>
      </c>
      <c r="E294" s="101">
        <v>43373</v>
      </c>
      <c r="F294" s="46">
        <v>696.99</v>
      </c>
    </row>
    <row r="295" spans="1:6">
      <c r="A295" s="488" t="s">
        <v>521</v>
      </c>
      <c r="B295" s="488" t="s">
        <v>522</v>
      </c>
      <c r="C295" s="757" t="s">
        <v>1740</v>
      </c>
      <c r="D295" s="488" t="s">
        <v>2522</v>
      </c>
      <c r="E295" s="101">
        <v>43373</v>
      </c>
      <c r="F295" s="46">
        <v>266.07</v>
      </c>
    </row>
    <row r="296" spans="1:6">
      <c r="A296" s="488" t="s">
        <v>1590</v>
      </c>
      <c r="B296" s="488" t="s">
        <v>1591</v>
      </c>
      <c r="C296" s="757" t="s">
        <v>1833</v>
      </c>
      <c r="D296" s="488" t="s">
        <v>2462</v>
      </c>
      <c r="E296" s="101">
        <v>43373</v>
      </c>
      <c r="F296" s="46">
        <v>328.59</v>
      </c>
    </row>
    <row r="297" spans="1:6">
      <c r="A297" s="488" t="s">
        <v>793</v>
      </c>
      <c r="B297" s="488" t="s">
        <v>481</v>
      </c>
      <c r="C297" s="757" t="s">
        <v>1741</v>
      </c>
      <c r="D297" s="488" t="s">
        <v>2472</v>
      </c>
      <c r="E297" s="101">
        <v>43373</v>
      </c>
      <c r="F297" s="46">
        <v>1373.99</v>
      </c>
    </row>
    <row r="298" spans="1:6">
      <c r="A298" s="488" t="s">
        <v>802</v>
      </c>
      <c r="B298" s="488" t="s">
        <v>803</v>
      </c>
      <c r="C298" s="757" t="s">
        <v>1742</v>
      </c>
      <c r="D298" s="488" t="s">
        <v>2464</v>
      </c>
      <c r="E298" s="101">
        <v>43373</v>
      </c>
      <c r="F298" s="46">
        <v>617.29</v>
      </c>
    </row>
    <row r="299" spans="1:6">
      <c r="A299" s="488" t="s">
        <v>804</v>
      </c>
      <c r="B299" s="488" t="s">
        <v>805</v>
      </c>
      <c r="C299" s="757" t="s">
        <v>1743</v>
      </c>
      <c r="D299" s="488" t="s">
        <v>2471</v>
      </c>
      <c r="E299" s="101">
        <v>43373</v>
      </c>
      <c r="F299" s="46">
        <v>632.53</v>
      </c>
    </row>
    <row r="300" spans="1:6">
      <c r="A300" s="488" t="s">
        <v>611</v>
      </c>
      <c r="B300" s="488" t="s">
        <v>612</v>
      </c>
      <c r="C300" s="757" t="s">
        <v>1512</v>
      </c>
      <c r="D300" s="488" t="s">
        <v>2467</v>
      </c>
      <c r="E300" s="101">
        <v>43373</v>
      </c>
      <c r="F300" s="46">
        <v>1768.73</v>
      </c>
    </row>
    <row r="301" spans="1:6">
      <c r="A301" s="488" t="s">
        <v>411</v>
      </c>
      <c r="B301" s="488" t="s">
        <v>412</v>
      </c>
      <c r="C301" s="757" t="s">
        <v>1744</v>
      </c>
      <c r="D301" s="488" t="s">
        <v>2465</v>
      </c>
      <c r="E301" s="101">
        <v>43373</v>
      </c>
      <c r="F301" s="46">
        <v>439</v>
      </c>
    </row>
    <row r="302" spans="1:6">
      <c r="A302" s="488" t="s">
        <v>806</v>
      </c>
      <c r="B302" s="488" t="s">
        <v>807</v>
      </c>
      <c r="C302" s="757" t="s">
        <v>1745</v>
      </c>
      <c r="D302" s="488" t="s">
        <v>2511</v>
      </c>
      <c r="E302" s="101">
        <v>43373</v>
      </c>
      <c r="F302" s="46">
        <v>944.7</v>
      </c>
    </row>
    <row r="303" spans="1:6">
      <c r="A303" s="488" t="s">
        <v>1835</v>
      </c>
      <c r="B303" s="488" t="s">
        <v>688</v>
      </c>
      <c r="C303" s="757" t="s">
        <v>1836</v>
      </c>
      <c r="D303" s="488" t="s">
        <v>2486</v>
      </c>
      <c r="E303" s="101">
        <v>43373</v>
      </c>
      <c r="F303" s="46">
        <v>235.33</v>
      </c>
    </row>
    <row r="304" spans="1:6">
      <c r="A304" s="488" t="s">
        <v>525</v>
      </c>
      <c r="B304" s="488" t="s">
        <v>526</v>
      </c>
      <c r="C304" s="757" t="s">
        <v>2523</v>
      </c>
      <c r="D304" s="488" t="s">
        <v>2467</v>
      </c>
      <c r="E304" s="101">
        <v>43373</v>
      </c>
      <c r="F304" s="46">
        <v>541.78</v>
      </c>
    </row>
    <row r="305" spans="1:6">
      <c r="A305" s="488" t="s">
        <v>527</v>
      </c>
      <c r="B305" s="488" t="s">
        <v>359</v>
      </c>
      <c r="C305" s="757" t="s">
        <v>1746</v>
      </c>
      <c r="D305" s="488" t="s">
        <v>2486</v>
      </c>
      <c r="E305" s="101">
        <v>43373</v>
      </c>
      <c r="F305" s="46">
        <v>500</v>
      </c>
    </row>
    <row r="306" spans="1:6">
      <c r="A306" s="488" t="s">
        <v>358</v>
      </c>
      <c r="B306" s="488" t="s">
        <v>359</v>
      </c>
      <c r="C306" s="757" t="s">
        <v>1832</v>
      </c>
      <c r="D306" s="488" t="s">
        <v>103</v>
      </c>
      <c r="E306" s="101">
        <v>43373</v>
      </c>
      <c r="F306" s="46">
        <v>400</v>
      </c>
    </row>
    <row r="307" spans="1:6">
      <c r="A307" s="488" t="s">
        <v>613</v>
      </c>
      <c r="B307" s="488" t="s">
        <v>614</v>
      </c>
      <c r="C307" s="757" t="s">
        <v>1747</v>
      </c>
      <c r="D307" s="488" t="s">
        <v>2471</v>
      </c>
      <c r="E307" s="101">
        <v>43373</v>
      </c>
      <c r="F307" s="46">
        <v>2026.88</v>
      </c>
    </row>
    <row r="308" spans="1:6">
      <c r="A308" s="488" t="s">
        <v>789</v>
      </c>
      <c r="B308" s="488" t="s">
        <v>504</v>
      </c>
      <c r="C308" s="757" t="s">
        <v>1748</v>
      </c>
      <c r="D308" s="488" t="s">
        <v>103</v>
      </c>
      <c r="E308" s="101">
        <v>43373</v>
      </c>
      <c r="F308" s="46">
        <v>1050.5</v>
      </c>
    </row>
    <row r="309" spans="1:6">
      <c r="A309" s="488" t="s">
        <v>808</v>
      </c>
      <c r="B309" s="488" t="s">
        <v>514</v>
      </c>
      <c r="C309" s="757" t="s">
        <v>1749</v>
      </c>
      <c r="D309" s="488" t="s">
        <v>2476</v>
      </c>
      <c r="E309" s="101">
        <v>43373</v>
      </c>
      <c r="F309" s="46">
        <v>852.96</v>
      </c>
    </row>
    <row r="310" spans="1:6">
      <c r="A310" s="488" t="s">
        <v>530</v>
      </c>
      <c r="B310" s="488" t="s">
        <v>531</v>
      </c>
      <c r="C310" s="757" t="s">
        <v>1750</v>
      </c>
      <c r="D310" s="488" t="s">
        <v>2471</v>
      </c>
      <c r="E310" s="101">
        <v>43373</v>
      </c>
      <c r="F310" s="46">
        <v>1079.0999999999999</v>
      </c>
    </row>
    <row r="311" spans="1:6">
      <c r="A311" s="488" t="s">
        <v>364</v>
      </c>
      <c r="B311" s="488" t="s">
        <v>363</v>
      </c>
      <c r="C311" s="757" t="s">
        <v>1751</v>
      </c>
      <c r="D311" s="488" t="s">
        <v>2500</v>
      </c>
      <c r="E311" s="101">
        <v>43373</v>
      </c>
      <c r="F311" s="46">
        <v>5083.7299999999996</v>
      </c>
    </row>
    <row r="312" spans="1:6">
      <c r="A312" s="488" t="s">
        <v>809</v>
      </c>
      <c r="B312" s="488" t="s">
        <v>810</v>
      </c>
      <c r="C312" s="757" t="s">
        <v>1752</v>
      </c>
      <c r="D312" s="488" t="s">
        <v>2462</v>
      </c>
      <c r="E312" s="101">
        <v>43373</v>
      </c>
      <c r="F312" s="46">
        <v>6935.21</v>
      </c>
    </row>
    <row r="313" spans="1:6">
      <c r="A313" s="488" t="s">
        <v>811</v>
      </c>
      <c r="B313" s="488" t="s">
        <v>812</v>
      </c>
      <c r="C313" s="757" t="s">
        <v>1753</v>
      </c>
      <c r="D313" s="488" t="s">
        <v>2510</v>
      </c>
      <c r="E313" s="101">
        <v>43373</v>
      </c>
      <c r="F313" s="46">
        <v>459.05</v>
      </c>
    </row>
    <row r="314" spans="1:6">
      <c r="A314" s="488" t="s">
        <v>813</v>
      </c>
      <c r="B314" s="488" t="s">
        <v>506</v>
      </c>
      <c r="C314" s="757" t="s">
        <v>1754</v>
      </c>
      <c r="D314" s="488" t="s">
        <v>2524</v>
      </c>
      <c r="E314" s="101">
        <v>43373</v>
      </c>
      <c r="F314" s="46">
        <v>4042.82</v>
      </c>
    </row>
    <row r="315" spans="1:6">
      <c r="A315" s="488" t="s">
        <v>814</v>
      </c>
      <c r="B315" s="488" t="s">
        <v>615</v>
      </c>
      <c r="C315" s="757" t="s">
        <v>1755</v>
      </c>
      <c r="D315" s="488" t="s">
        <v>2470</v>
      </c>
      <c r="E315" s="101">
        <v>43373</v>
      </c>
      <c r="F315" s="46">
        <v>795.34</v>
      </c>
    </row>
    <row r="316" spans="1:6">
      <c r="A316" s="488" t="s">
        <v>815</v>
      </c>
      <c r="B316" s="488" t="s">
        <v>366</v>
      </c>
      <c r="C316" s="757" t="s">
        <v>1358</v>
      </c>
      <c r="D316" s="488" t="s">
        <v>2467</v>
      </c>
      <c r="E316" s="101">
        <v>43373</v>
      </c>
      <c r="F316" s="46">
        <v>1409.77</v>
      </c>
    </row>
    <row r="317" spans="1:6">
      <c r="A317" s="488" t="s">
        <v>532</v>
      </c>
      <c r="B317" s="488" t="s">
        <v>533</v>
      </c>
      <c r="C317" s="757" t="s">
        <v>1756</v>
      </c>
      <c r="D317" s="488" t="s">
        <v>2465</v>
      </c>
      <c r="E317" s="101">
        <v>43373</v>
      </c>
      <c r="F317" s="46">
        <v>643.59</v>
      </c>
    </row>
    <row r="318" spans="1:6">
      <c r="A318" s="488" t="s">
        <v>368</v>
      </c>
      <c r="B318" s="488" t="s">
        <v>369</v>
      </c>
      <c r="C318" s="757" t="s">
        <v>1757</v>
      </c>
      <c r="D318" s="488" t="s">
        <v>2522</v>
      </c>
      <c r="E318" s="101">
        <v>43373</v>
      </c>
      <c r="F318" s="46">
        <v>5846.05</v>
      </c>
    </row>
    <row r="319" spans="1:6">
      <c r="A319" s="488" t="s">
        <v>816</v>
      </c>
      <c r="B319" s="488" t="s">
        <v>617</v>
      </c>
      <c r="C319" s="757" t="s">
        <v>1758</v>
      </c>
      <c r="D319" s="488" t="s">
        <v>2506</v>
      </c>
      <c r="E319" s="101">
        <v>43373</v>
      </c>
      <c r="F319" s="46">
        <v>717.34</v>
      </c>
    </row>
    <row r="320" spans="1:6">
      <c r="A320" s="488" t="s">
        <v>817</v>
      </c>
      <c r="B320" s="488" t="s">
        <v>818</v>
      </c>
      <c r="C320" s="757" t="s">
        <v>1759</v>
      </c>
      <c r="D320" s="488" t="s">
        <v>2471</v>
      </c>
      <c r="E320" s="101">
        <v>43373</v>
      </c>
      <c r="F320" s="46">
        <v>1863.78</v>
      </c>
    </row>
    <row r="321" spans="1:6">
      <c r="A321" s="488" t="s">
        <v>618</v>
      </c>
      <c r="B321" s="488" t="s">
        <v>619</v>
      </c>
      <c r="C321" s="757" t="s">
        <v>1834</v>
      </c>
      <c r="D321" s="488" t="s">
        <v>2525</v>
      </c>
      <c r="E321" s="101">
        <v>43373</v>
      </c>
      <c r="F321" s="46">
        <v>1599.13</v>
      </c>
    </row>
    <row r="322" spans="1:6">
      <c r="A322" s="488" t="s">
        <v>819</v>
      </c>
      <c r="B322" s="488" t="s">
        <v>623</v>
      </c>
      <c r="C322" s="757" t="s">
        <v>1760</v>
      </c>
      <c r="D322" s="488" t="s">
        <v>2476</v>
      </c>
      <c r="E322" s="101">
        <v>43373</v>
      </c>
      <c r="F322" s="46">
        <v>542.53</v>
      </c>
    </row>
    <row r="323" spans="1:6">
      <c r="A323" s="488" t="s">
        <v>820</v>
      </c>
      <c r="B323" s="488" t="s">
        <v>624</v>
      </c>
      <c r="C323" s="757" t="s">
        <v>1761</v>
      </c>
      <c r="D323" s="488" t="s">
        <v>2466</v>
      </c>
      <c r="E323" s="101">
        <v>43373</v>
      </c>
      <c r="F323" s="46">
        <v>523.54999999999995</v>
      </c>
    </row>
    <row r="324" spans="1:6">
      <c r="A324" s="488" t="s">
        <v>821</v>
      </c>
      <c r="B324" s="488" t="s">
        <v>626</v>
      </c>
      <c r="C324" s="757" t="s">
        <v>1762</v>
      </c>
      <c r="D324" s="488" t="s">
        <v>2510</v>
      </c>
      <c r="E324" s="101">
        <v>43373</v>
      </c>
      <c r="F324" s="46">
        <v>2891.29</v>
      </c>
    </row>
    <row r="325" spans="1:6">
      <c r="A325" s="488" t="s">
        <v>822</v>
      </c>
      <c r="B325" s="488" t="s">
        <v>823</v>
      </c>
      <c r="C325" s="757" t="s">
        <v>1763</v>
      </c>
      <c r="D325" s="488" t="s">
        <v>2499</v>
      </c>
      <c r="E325" s="101">
        <v>43373</v>
      </c>
      <c r="F325" s="46">
        <v>1426.44</v>
      </c>
    </row>
    <row r="326" spans="1:6">
      <c r="A326" s="488" t="s">
        <v>435</v>
      </c>
      <c r="B326" s="488" t="s">
        <v>436</v>
      </c>
      <c r="C326" s="757" t="s">
        <v>1442</v>
      </c>
      <c r="D326" s="488" t="s">
        <v>2465</v>
      </c>
      <c r="E326" s="101">
        <v>43373</v>
      </c>
      <c r="F326" s="46">
        <v>1456.11</v>
      </c>
    </row>
    <row r="327" spans="1:6">
      <c r="A327" s="488" t="s">
        <v>627</v>
      </c>
      <c r="B327" s="488" t="s">
        <v>628</v>
      </c>
      <c r="C327" s="757" t="s">
        <v>1764</v>
      </c>
      <c r="D327" s="488" t="s">
        <v>2501</v>
      </c>
      <c r="E327" s="101">
        <v>43373</v>
      </c>
      <c r="F327" s="46">
        <v>2025.78</v>
      </c>
    </row>
    <row r="328" spans="1:6">
      <c r="A328" s="488" t="s">
        <v>824</v>
      </c>
      <c r="B328" s="488" t="s">
        <v>825</v>
      </c>
      <c r="C328" s="757" t="s">
        <v>1765</v>
      </c>
      <c r="D328" s="488" t="s">
        <v>2526</v>
      </c>
      <c r="E328" s="101">
        <v>43373</v>
      </c>
      <c r="F328" s="46">
        <v>4854.57</v>
      </c>
    </row>
    <row r="329" spans="1:6">
      <c r="A329" s="488" t="s">
        <v>537</v>
      </c>
      <c r="B329" s="488" t="s">
        <v>538</v>
      </c>
      <c r="C329" s="757" t="s">
        <v>1766</v>
      </c>
      <c r="D329" s="488" t="s">
        <v>2464</v>
      </c>
      <c r="E329" s="101">
        <v>43373</v>
      </c>
      <c r="F329" s="46">
        <v>2724.06</v>
      </c>
    </row>
    <row r="330" spans="1:6">
      <c r="A330" s="488" t="s">
        <v>753</v>
      </c>
      <c r="B330" s="488" t="s">
        <v>370</v>
      </c>
      <c r="C330" s="757" t="s">
        <v>1767</v>
      </c>
      <c r="D330" s="488" t="s">
        <v>2497</v>
      </c>
      <c r="E330" s="101">
        <v>43373</v>
      </c>
      <c r="F330" s="46">
        <v>2495.9899999999998</v>
      </c>
    </row>
    <row r="331" spans="1:6">
      <c r="A331" s="488" t="s">
        <v>826</v>
      </c>
      <c r="B331" s="488" t="s">
        <v>827</v>
      </c>
      <c r="C331" s="757" t="s">
        <v>1768</v>
      </c>
      <c r="D331" s="488" t="s">
        <v>2526</v>
      </c>
      <c r="E331" s="101">
        <v>43373</v>
      </c>
      <c r="F331" s="46">
        <v>1371.94</v>
      </c>
    </row>
    <row r="332" spans="1:6">
      <c r="A332" s="488" t="s">
        <v>2527</v>
      </c>
      <c r="B332" s="488" t="s">
        <v>2528</v>
      </c>
      <c r="C332" s="757" t="s">
        <v>2529</v>
      </c>
      <c r="D332" s="488" t="s">
        <v>2487</v>
      </c>
      <c r="E332" s="101">
        <v>43373</v>
      </c>
      <c r="F332" s="46">
        <v>142</v>
      </c>
    </row>
    <row r="333" spans="1:6">
      <c r="A333" s="488" t="s">
        <v>828</v>
      </c>
      <c r="B333" s="488" t="s">
        <v>539</v>
      </c>
      <c r="C333" s="757" t="s">
        <v>1769</v>
      </c>
      <c r="D333" s="488" t="s">
        <v>2478</v>
      </c>
      <c r="E333" s="101">
        <v>43373</v>
      </c>
      <c r="F333" s="46">
        <v>898.22</v>
      </c>
    </row>
    <row r="334" spans="1:6">
      <c r="A334" s="488" t="s">
        <v>829</v>
      </c>
      <c r="B334" s="488" t="s">
        <v>631</v>
      </c>
      <c r="C334" s="757" t="s">
        <v>1770</v>
      </c>
      <c r="D334" s="488" t="s">
        <v>2486</v>
      </c>
      <c r="E334" s="101">
        <v>43373</v>
      </c>
      <c r="F334" s="46">
        <v>2006.91</v>
      </c>
    </row>
    <row r="335" spans="1:6">
      <c r="A335" s="488" t="s">
        <v>472</v>
      </c>
      <c r="B335" s="488" t="s">
        <v>473</v>
      </c>
      <c r="C335" s="757" t="s">
        <v>1771</v>
      </c>
      <c r="D335" s="488" t="s">
        <v>2465</v>
      </c>
      <c r="E335" s="101">
        <v>43373</v>
      </c>
      <c r="F335" s="46">
        <v>2000</v>
      </c>
    </row>
    <row r="336" spans="1:6">
      <c r="A336" s="488" t="s">
        <v>787</v>
      </c>
      <c r="B336" s="488" t="s">
        <v>480</v>
      </c>
      <c r="C336" s="757" t="s">
        <v>1772</v>
      </c>
      <c r="D336" s="488" t="s">
        <v>103</v>
      </c>
      <c r="E336" s="101">
        <v>43373</v>
      </c>
      <c r="F336" s="46">
        <v>962.36</v>
      </c>
    </row>
    <row r="337" spans="1:6">
      <c r="A337" s="488" t="s">
        <v>2530</v>
      </c>
      <c r="B337" s="488" t="s">
        <v>2531</v>
      </c>
      <c r="C337" s="757" t="s">
        <v>2532</v>
      </c>
      <c r="D337" s="488" t="s">
        <v>2511</v>
      </c>
      <c r="E337" s="101">
        <v>43373</v>
      </c>
      <c r="F337" s="46">
        <v>3280.58</v>
      </c>
    </row>
    <row r="338" spans="1:6">
      <c r="A338" s="488" t="s">
        <v>830</v>
      </c>
      <c r="B338" s="488" t="s">
        <v>831</v>
      </c>
      <c r="C338" s="757" t="s">
        <v>1773</v>
      </c>
      <c r="D338" s="488" t="s">
        <v>2468</v>
      </c>
      <c r="E338" s="101">
        <v>43373</v>
      </c>
      <c r="F338" s="46">
        <v>1081.29</v>
      </c>
    </row>
    <row r="339" spans="1:6">
      <c r="A339" s="488" t="s">
        <v>1827</v>
      </c>
      <c r="B339" s="488" t="s">
        <v>542</v>
      </c>
      <c r="C339" s="757" t="s">
        <v>1828</v>
      </c>
      <c r="D339" s="488" t="s">
        <v>2468</v>
      </c>
      <c r="E339" s="101">
        <v>43373</v>
      </c>
      <c r="F339" s="46">
        <v>1481.6</v>
      </c>
    </row>
    <row r="340" spans="1:6">
      <c r="A340" s="488" t="s">
        <v>743</v>
      </c>
      <c r="B340" s="488" t="s">
        <v>374</v>
      </c>
      <c r="C340" s="757" t="s">
        <v>1774</v>
      </c>
      <c r="D340" s="488" t="s">
        <v>103</v>
      </c>
      <c r="E340" s="101">
        <v>43373</v>
      </c>
      <c r="F340" s="46">
        <v>932.67</v>
      </c>
    </row>
    <row r="341" spans="1:6">
      <c r="A341" s="488" t="s">
        <v>543</v>
      </c>
      <c r="B341" s="488" t="s">
        <v>544</v>
      </c>
      <c r="C341" s="757" t="s">
        <v>1775</v>
      </c>
      <c r="D341" s="488" t="s">
        <v>2486</v>
      </c>
      <c r="E341" s="101">
        <v>43373</v>
      </c>
      <c r="F341" s="46">
        <v>2812.46</v>
      </c>
    </row>
    <row r="342" spans="1:6">
      <c r="A342" s="488" t="s">
        <v>632</v>
      </c>
      <c r="B342" s="488" t="s">
        <v>633</v>
      </c>
      <c r="C342" s="757" t="s">
        <v>1776</v>
      </c>
      <c r="D342" s="488" t="s">
        <v>2511</v>
      </c>
      <c r="E342" s="101">
        <v>43373</v>
      </c>
      <c r="F342" s="46">
        <v>4832.25</v>
      </c>
    </row>
    <row r="343" spans="1:6" s="749" customFormat="1">
      <c r="A343" s="488" t="s">
        <v>832</v>
      </c>
      <c r="B343" s="488" t="s">
        <v>509</v>
      </c>
      <c r="C343" s="757" t="s">
        <v>1777</v>
      </c>
      <c r="D343" s="488" t="s">
        <v>2506</v>
      </c>
      <c r="E343" s="101">
        <v>43373</v>
      </c>
      <c r="F343" s="46">
        <v>430.09</v>
      </c>
    </row>
    <row r="344" spans="1:6">
      <c r="A344" s="488" t="s">
        <v>833</v>
      </c>
      <c r="B344" s="488" t="s">
        <v>545</v>
      </c>
      <c r="C344" s="757" t="s">
        <v>1778</v>
      </c>
      <c r="D344" s="488" t="s">
        <v>2463</v>
      </c>
      <c r="E344" s="101">
        <v>43373</v>
      </c>
      <c r="F344" s="46">
        <v>3500</v>
      </c>
    </row>
    <row r="345" spans="1:6">
      <c r="A345" s="488" t="s">
        <v>834</v>
      </c>
      <c r="B345" s="488" t="s">
        <v>835</v>
      </c>
      <c r="C345" s="757" t="s">
        <v>1779</v>
      </c>
      <c r="D345" s="488" t="s">
        <v>2506</v>
      </c>
      <c r="E345" s="101">
        <v>43373</v>
      </c>
      <c r="F345" s="46">
        <v>1328.75</v>
      </c>
    </row>
    <row r="346" spans="1:6">
      <c r="A346" s="488" t="s">
        <v>788</v>
      </c>
      <c r="B346" s="488" t="s">
        <v>474</v>
      </c>
      <c r="C346" s="757" t="s">
        <v>1780</v>
      </c>
      <c r="D346" s="488" t="s">
        <v>2501</v>
      </c>
      <c r="E346" s="101">
        <v>43373</v>
      </c>
      <c r="F346" s="46">
        <v>12079.85</v>
      </c>
    </row>
    <row r="347" spans="1:6">
      <c r="A347" s="488" t="s">
        <v>836</v>
      </c>
      <c r="B347" s="488" t="s">
        <v>637</v>
      </c>
      <c r="C347" s="757" t="s">
        <v>1538</v>
      </c>
      <c r="D347" s="488" t="s">
        <v>2467</v>
      </c>
      <c r="E347" s="101">
        <v>43373</v>
      </c>
      <c r="F347" s="46">
        <v>1702.08</v>
      </c>
    </row>
    <row r="348" spans="1:6">
      <c r="A348" s="488" t="s">
        <v>837</v>
      </c>
      <c r="B348" s="488" t="s">
        <v>838</v>
      </c>
      <c r="C348" s="757" t="s">
        <v>1781</v>
      </c>
      <c r="D348" s="488" t="s">
        <v>2467</v>
      </c>
      <c r="E348" s="101">
        <v>43373</v>
      </c>
      <c r="F348" s="46">
        <v>139.31</v>
      </c>
    </row>
    <row r="349" spans="1:6">
      <c r="A349" s="488" t="s">
        <v>638</v>
      </c>
      <c r="B349" s="488" t="s">
        <v>639</v>
      </c>
      <c r="C349" s="757" t="s">
        <v>1782</v>
      </c>
      <c r="D349" s="488" t="s">
        <v>2471</v>
      </c>
      <c r="E349" s="101">
        <v>43373</v>
      </c>
      <c r="F349" s="46">
        <v>2075.63</v>
      </c>
    </row>
    <row r="350" spans="1:6">
      <c r="A350" s="488" t="s">
        <v>839</v>
      </c>
      <c r="B350" s="488" t="s">
        <v>840</v>
      </c>
      <c r="C350" s="757" t="s">
        <v>1783</v>
      </c>
      <c r="D350" s="488" t="s">
        <v>2465</v>
      </c>
      <c r="E350" s="101">
        <v>43373</v>
      </c>
      <c r="F350" s="46">
        <v>2839.96</v>
      </c>
    </row>
    <row r="351" spans="1:6">
      <c r="A351" s="488" t="s">
        <v>841</v>
      </c>
      <c r="B351" s="488" t="s">
        <v>842</v>
      </c>
      <c r="C351" s="757" t="s">
        <v>1784</v>
      </c>
      <c r="D351" s="488" t="s">
        <v>2465</v>
      </c>
      <c r="E351" s="101">
        <v>43373</v>
      </c>
      <c r="F351" s="46">
        <v>914.18</v>
      </c>
    </row>
    <row r="352" spans="1:6">
      <c r="A352" s="488" t="s">
        <v>375</v>
      </c>
      <c r="B352" s="488" t="s">
        <v>376</v>
      </c>
      <c r="C352" s="757" t="s">
        <v>1785</v>
      </c>
      <c r="D352" s="488" t="s">
        <v>2511</v>
      </c>
      <c r="E352" s="101">
        <v>43373</v>
      </c>
      <c r="F352" s="46">
        <v>425</v>
      </c>
    </row>
    <row r="353" spans="1:6">
      <c r="A353" s="488" t="s">
        <v>375</v>
      </c>
      <c r="B353" s="488" t="s">
        <v>376</v>
      </c>
      <c r="C353" s="757" t="s">
        <v>1786</v>
      </c>
      <c r="D353" s="488" t="s">
        <v>2486</v>
      </c>
      <c r="E353" s="101">
        <v>43373</v>
      </c>
      <c r="F353" s="46">
        <v>500</v>
      </c>
    </row>
    <row r="354" spans="1:6">
      <c r="A354" s="488" t="s">
        <v>375</v>
      </c>
      <c r="B354" s="488" t="s">
        <v>376</v>
      </c>
      <c r="C354" s="757" t="s">
        <v>1788</v>
      </c>
      <c r="D354" s="488" t="s">
        <v>2511</v>
      </c>
      <c r="E354" s="101">
        <v>43373</v>
      </c>
      <c r="F354" s="46">
        <v>425</v>
      </c>
    </row>
    <row r="355" spans="1:6">
      <c r="A355" s="488" t="s">
        <v>375</v>
      </c>
      <c r="B355" s="488" t="s">
        <v>376</v>
      </c>
      <c r="C355" s="757" t="s">
        <v>1787</v>
      </c>
      <c r="D355" s="488" t="s">
        <v>2496</v>
      </c>
      <c r="E355" s="101">
        <v>43373</v>
      </c>
      <c r="F355" s="46">
        <v>600</v>
      </c>
    </row>
    <row r="356" spans="1:6">
      <c r="A356" s="488" t="s">
        <v>843</v>
      </c>
      <c r="B356" s="488" t="s">
        <v>641</v>
      </c>
      <c r="C356" s="757" t="s">
        <v>1789</v>
      </c>
      <c r="D356" s="488" t="s">
        <v>2486</v>
      </c>
      <c r="E356" s="101">
        <v>43373</v>
      </c>
      <c r="F356" s="46">
        <v>4651.8</v>
      </c>
    </row>
    <row r="357" spans="1:6">
      <c r="A357" s="488" t="s">
        <v>844</v>
      </c>
      <c r="B357" s="488" t="s">
        <v>845</v>
      </c>
      <c r="C357" s="757" t="s">
        <v>1790</v>
      </c>
      <c r="D357" s="488" t="s">
        <v>2468</v>
      </c>
      <c r="E357" s="101">
        <v>43373</v>
      </c>
      <c r="F357" s="46">
        <v>2241.66</v>
      </c>
    </row>
    <row r="358" spans="1:6">
      <c r="A358" s="488" t="s">
        <v>846</v>
      </c>
      <c r="B358" s="488" t="s">
        <v>439</v>
      </c>
      <c r="C358" s="757" t="s">
        <v>1791</v>
      </c>
      <c r="D358" s="488" t="s">
        <v>2525</v>
      </c>
      <c r="E358" s="101">
        <v>43373</v>
      </c>
      <c r="F358" s="46">
        <v>2000</v>
      </c>
    </row>
    <row r="359" spans="1:6">
      <c r="A359" s="488" t="s">
        <v>847</v>
      </c>
      <c r="B359" s="488" t="s">
        <v>848</v>
      </c>
      <c r="C359" s="757" t="s">
        <v>2533</v>
      </c>
      <c r="D359" s="488" t="s">
        <v>2465</v>
      </c>
      <c r="E359" s="101">
        <v>43373</v>
      </c>
      <c r="F359" s="46">
        <v>2517.9899999999998</v>
      </c>
    </row>
    <row r="360" spans="1:6">
      <c r="A360" s="488" t="s">
        <v>847</v>
      </c>
      <c r="B360" s="488" t="s">
        <v>848</v>
      </c>
      <c r="C360" s="757" t="s">
        <v>1792</v>
      </c>
      <c r="D360" s="488" t="s">
        <v>2465</v>
      </c>
      <c r="E360" s="101">
        <v>43373</v>
      </c>
      <c r="F360" s="46">
        <v>1810.5</v>
      </c>
    </row>
    <row r="361" spans="1:6">
      <c r="A361" s="488" t="s">
        <v>377</v>
      </c>
      <c r="B361" s="488" t="s">
        <v>378</v>
      </c>
      <c r="C361" s="757" t="s">
        <v>2534</v>
      </c>
      <c r="D361" s="488" t="s">
        <v>103</v>
      </c>
      <c r="E361" s="101">
        <v>43373</v>
      </c>
      <c r="F361" s="46">
        <v>3300</v>
      </c>
    </row>
    <row r="362" spans="1:6">
      <c r="A362" s="488" t="s">
        <v>377</v>
      </c>
      <c r="B362" s="488" t="s">
        <v>378</v>
      </c>
      <c r="C362" s="757" t="s">
        <v>1793</v>
      </c>
      <c r="D362" s="488" t="s">
        <v>103</v>
      </c>
      <c r="E362" s="101">
        <v>43373</v>
      </c>
      <c r="F362" s="46">
        <v>2500</v>
      </c>
    </row>
    <row r="363" spans="1:6">
      <c r="A363" s="488" t="s">
        <v>849</v>
      </c>
      <c r="B363" s="488" t="s">
        <v>549</v>
      </c>
      <c r="C363" s="757" t="s">
        <v>1794</v>
      </c>
      <c r="D363" s="488" t="s">
        <v>2510</v>
      </c>
      <c r="E363" s="101">
        <v>43373</v>
      </c>
      <c r="F363" s="46">
        <v>1997.68</v>
      </c>
    </row>
    <row r="364" spans="1:6">
      <c r="A364" s="488" t="s">
        <v>550</v>
      </c>
      <c r="B364" s="488" t="s">
        <v>551</v>
      </c>
      <c r="C364" s="757" t="s">
        <v>1795</v>
      </c>
      <c r="D364" s="488" t="s">
        <v>2511</v>
      </c>
      <c r="E364" s="101">
        <v>43373</v>
      </c>
      <c r="F364" s="46">
        <v>3233.33</v>
      </c>
    </row>
    <row r="365" spans="1:6">
      <c r="A365" s="488" t="s">
        <v>552</v>
      </c>
      <c r="B365" s="488" t="s">
        <v>553</v>
      </c>
      <c r="C365" s="757" t="s">
        <v>1796</v>
      </c>
      <c r="D365" s="488" t="s">
        <v>2535</v>
      </c>
      <c r="E365" s="101">
        <v>43373</v>
      </c>
      <c r="F365" s="46">
        <v>1278.07</v>
      </c>
    </row>
    <row r="366" spans="1:6">
      <c r="A366" s="488" t="s">
        <v>340</v>
      </c>
      <c r="B366" s="488" t="s">
        <v>341</v>
      </c>
      <c r="C366" s="757" t="s">
        <v>1837</v>
      </c>
      <c r="D366" s="488" t="s">
        <v>2468</v>
      </c>
      <c r="E366" s="101">
        <v>43373</v>
      </c>
      <c r="F366" s="46">
        <v>666.66</v>
      </c>
    </row>
    <row r="367" spans="1:6">
      <c r="A367" s="488" t="s">
        <v>555</v>
      </c>
      <c r="B367" s="488" t="s">
        <v>556</v>
      </c>
      <c r="C367" s="757" t="s">
        <v>1797</v>
      </c>
      <c r="D367" s="488" t="s">
        <v>2472</v>
      </c>
      <c r="E367" s="101">
        <v>43373</v>
      </c>
      <c r="F367" s="46">
        <v>679.47</v>
      </c>
    </row>
    <row r="368" spans="1:6">
      <c r="A368" s="488" t="s">
        <v>486</v>
      </c>
      <c r="B368" s="488" t="s">
        <v>487</v>
      </c>
      <c r="C368" s="757" t="s">
        <v>1798</v>
      </c>
      <c r="D368" s="488" t="s">
        <v>103</v>
      </c>
      <c r="E368" s="101">
        <v>43373</v>
      </c>
      <c r="F368" s="46">
        <v>3000</v>
      </c>
    </row>
    <row r="369" spans="1:6">
      <c r="A369" s="488" t="s">
        <v>644</v>
      </c>
      <c r="B369" s="488" t="s">
        <v>645</v>
      </c>
      <c r="C369" s="757" t="s">
        <v>1799</v>
      </c>
      <c r="D369" s="488" t="s">
        <v>2468</v>
      </c>
      <c r="E369" s="101">
        <v>43373</v>
      </c>
      <c r="F369" s="46">
        <v>1132.3499999999999</v>
      </c>
    </row>
    <row r="370" spans="1:6">
      <c r="A370" s="488" t="s">
        <v>379</v>
      </c>
      <c r="B370" s="488" t="s">
        <v>380</v>
      </c>
      <c r="C370" s="757" t="s">
        <v>1800</v>
      </c>
      <c r="D370" s="488" t="s">
        <v>2472</v>
      </c>
      <c r="E370" s="101">
        <v>43373</v>
      </c>
      <c r="F370" s="46">
        <v>195</v>
      </c>
    </row>
    <row r="371" spans="1:6">
      <c r="A371" s="488" t="s">
        <v>442</v>
      </c>
      <c r="B371" s="488" t="s">
        <v>443</v>
      </c>
      <c r="C371" s="757" t="s">
        <v>1801</v>
      </c>
      <c r="D371" s="488" t="s">
        <v>2472</v>
      </c>
      <c r="E371" s="101">
        <v>43373</v>
      </c>
      <c r="F371" s="46">
        <v>655</v>
      </c>
    </row>
    <row r="372" spans="1:6">
      <c r="A372" s="488" t="s">
        <v>381</v>
      </c>
      <c r="B372" s="488" t="s">
        <v>382</v>
      </c>
      <c r="C372" s="757" t="s">
        <v>1802</v>
      </c>
      <c r="D372" s="488" t="s">
        <v>2468</v>
      </c>
      <c r="E372" s="101">
        <v>43373</v>
      </c>
      <c r="F372" s="46">
        <v>1392.52</v>
      </c>
    </row>
    <row r="373" spans="1:6">
      <c r="A373" s="488" t="s">
        <v>758</v>
      </c>
      <c r="B373" s="488" t="s">
        <v>759</v>
      </c>
      <c r="C373" s="757" t="s">
        <v>1803</v>
      </c>
      <c r="D373" s="488" t="s">
        <v>2468</v>
      </c>
      <c r="E373" s="101">
        <v>43373</v>
      </c>
      <c r="F373" s="46">
        <v>3536.65</v>
      </c>
    </row>
    <row r="374" spans="1:6">
      <c r="A374" s="488" t="s">
        <v>557</v>
      </c>
      <c r="B374" s="488" t="s">
        <v>558</v>
      </c>
      <c r="C374" s="757" t="s">
        <v>1804</v>
      </c>
      <c r="D374" s="488" t="s">
        <v>2476</v>
      </c>
      <c r="E374" s="101">
        <v>43373</v>
      </c>
      <c r="F374" s="46">
        <v>140.78</v>
      </c>
    </row>
    <row r="375" spans="1:6">
      <c r="A375" s="488" t="s">
        <v>488</v>
      </c>
      <c r="B375" s="488" t="s">
        <v>489</v>
      </c>
      <c r="C375" s="757" t="s">
        <v>1805</v>
      </c>
      <c r="D375" s="488" t="s">
        <v>2536</v>
      </c>
      <c r="E375" s="101">
        <v>43373</v>
      </c>
      <c r="F375" s="46">
        <v>119.3</v>
      </c>
    </row>
    <row r="376" spans="1:6">
      <c r="A376" s="488" t="s">
        <v>2537</v>
      </c>
      <c r="B376" s="488" t="s">
        <v>2538</v>
      </c>
      <c r="C376" s="757" t="s">
        <v>2539</v>
      </c>
      <c r="D376" s="488" t="s">
        <v>2476</v>
      </c>
      <c r="E376" s="101">
        <v>43373</v>
      </c>
      <c r="F376" s="46">
        <v>143.72999999999999</v>
      </c>
    </row>
    <row r="377" spans="1:6">
      <c r="A377" s="488" t="s">
        <v>650</v>
      </c>
      <c r="B377" s="488" t="s">
        <v>651</v>
      </c>
      <c r="C377" s="757" t="s">
        <v>1806</v>
      </c>
      <c r="D377" s="488" t="s">
        <v>2476</v>
      </c>
      <c r="E377" s="101">
        <v>43373</v>
      </c>
      <c r="F377" s="46">
        <v>797.04</v>
      </c>
    </row>
    <row r="378" spans="1:6">
      <c r="A378" s="488" t="s">
        <v>490</v>
      </c>
      <c r="B378" s="488" t="s">
        <v>491</v>
      </c>
      <c r="C378" s="757" t="s">
        <v>1452</v>
      </c>
      <c r="D378" s="488" t="s">
        <v>2467</v>
      </c>
      <c r="E378" s="101">
        <v>43373</v>
      </c>
      <c r="F378" s="46">
        <v>140.78</v>
      </c>
    </row>
    <row r="379" spans="1:6">
      <c r="A379" s="488" t="s">
        <v>653</v>
      </c>
      <c r="B379" s="488" t="s">
        <v>654</v>
      </c>
      <c r="C379" s="757" t="s">
        <v>1807</v>
      </c>
      <c r="D379" s="488" t="s">
        <v>2476</v>
      </c>
      <c r="E379" s="101">
        <v>43373</v>
      </c>
      <c r="F379" s="46">
        <v>1440.4</v>
      </c>
    </row>
    <row r="380" spans="1:6">
      <c r="A380" s="488" t="s">
        <v>561</v>
      </c>
      <c r="B380" s="488" t="s">
        <v>562</v>
      </c>
      <c r="C380" s="757" t="s">
        <v>1808</v>
      </c>
      <c r="D380" s="488" t="s">
        <v>2472</v>
      </c>
      <c r="E380" s="101">
        <v>43373</v>
      </c>
      <c r="F380" s="46">
        <v>2907.38</v>
      </c>
    </row>
    <row r="381" spans="1:6">
      <c r="A381" s="488" t="s">
        <v>850</v>
      </c>
      <c r="B381" s="488" t="s">
        <v>656</v>
      </c>
      <c r="C381" s="757" t="s">
        <v>1809</v>
      </c>
      <c r="D381" s="488" t="s">
        <v>2540</v>
      </c>
      <c r="E381" s="101">
        <v>43373</v>
      </c>
      <c r="F381" s="46">
        <v>8524.76</v>
      </c>
    </row>
    <row r="382" spans="1:6">
      <c r="A382" s="488" t="s">
        <v>851</v>
      </c>
      <c r="B382" s="488" t="s">
        <v>852</v>
      </c>
      <c r="C382" s="757" t="s">
        <v>1810</v>
      </c>
      <c r="D382" s="488" t="s">
        <v>2541</v>
      </c>
      <c r="E382" s="101">
        <v>43373</v>
      </c>
      <c r="F382" s="46">
        <v>1077.95</v>
      </c>
    </row>
    <row r="383" spans="1:6">
      <c r="A383" s="488" t="s">
        <v>571</v>
      </c>
      <c r="B383" s="488" t="s">
        <v>572</v>
      </c>
      <c r="C383" s="757" t="s">
        <v>1811</v>
      </c>
      <c r="D383" s="488" t="s">
        <v>2467</v>
      </c>
      <c r="E383" s="101">
        <v>43373</v>
      </c>
      <c r="F383" s="46">
        <v>312.83999999999997</v>
      </c>
    </row>
    <row r="384" spans="1:6">
      <c r="A384" s="488" t="s">
        <v>573</v>
      </c>
      <c r="B384" s="488" t="s">
        <v>574</v>
      </c>
      <c r="C384" s="757" t="s">
        <v>1812</v>
      </c>
      <c r="D384" s="488" t="s">
        <v>2466</v>
      </c>
      <c r="E384" s="101">
        <v>43373</v>
      </c>
      <c r="F384" s="46">
        <v>415.5</v>
      </c>
    </row>
    <row r="385" spans="1:6">
      <c r="A385" s="488" t="s">
        <v>450</v>
      </c>
      <c r="B385" s="488" t="s">
        <v>451</v>
      </c>
      <c r="C385" s="757" t="s">
        <v>1443</v>
      </c>
      <c r="D385" s="488" t="s">
        <v>2467</v>
      </c>
      <c r="E385" s="101">
        <v>43373</v>
      </c>
      <c r="F385" s="46">
        <v>340</v>
      </c>
    </row>
    <row r="386" spans="1:6">
      <c r="A386" s="488" t="s">
        <v>658</v>
      </c>
      <c r="B386" s="488" t="s">
        <v>659</v>
      </c>
      <c r="C386" s="757" t="s">
        <v>1813</v>
      </c>
      <c r="D386" s="488" t="s">
        <v>2467</v>
      </c>
      <c r="E386" s="101">
        <v>43373</v>
      </c>
      <c r="F386" s="46">
        <v>402.87</v>
      </c>
    </row>
    <row r="387" spans="1:6">
      <c r="A387" s="488" t="s">
        <v>2542</v>
      </c>
      <c r="B387" s="488" t="s">
        <v>2543</v>
      </c>
      <c r="C387" s="757" t="s">
        <v>2544</v>
      </c>
      <c r="D387" s="488" t="s">
        <v>2545</v>
      </c>
      <c r="E387" s="101">
        <v>43373</v>
      </c>
      <c r="F387" s="46">
        <v>179.03</v>
      </c>
    </row>
    <row r="388" spans="1:6">
      <c r="A388" s="488" t="s">
        <v>452</v>
      </c>
      <c r="B388" s="488" t="s">
        <v>2502</v>
      </c>
      <c r="C388" s="757" t="s">
        <v>1840</v>
      </c>
      <c r="D388" s="488" t="s">
        <v>2476</v>
      </c>
      <c r="E388" s="101">
        <v>43373</v>
      </c>
      <c r="F388" s="46">
        <v>255</v>
      </c>
    </row>
    <row r="389" spans="1:6">
      <c r="A389" s="488" t="s">
        <v>493</v>
      </c>
      <c r="B389" s="488" t="s">
        <v>494</v>
      </c>
      <c r="C389" s="757" t="s">
        <v>1814</v>
      </c>
      <c r="D389" s="488" t="s">
        <v>2472</v>
      </c>
      <c r="E389" s="101">
        <v>43373</v>
      </c>
      <c r="F389" s="46">
        <v>1354.1</v>
      </c>
    </row>
    <row r="390" spans="1:6">
      <c r="A390" s="488" t="s">
        <v>1842</v>
      </c>
      <c r="B390" s="488" t="s">
        <v>2546</v>
      </c>
      <c r="C390" s="757" t="s">
        <v>1843</v>
      </c>
      <c r="D390" s="488" t="s">
        <v>2485</v>
      </c>
      <c r="E390" s="101">
        <v>43373</v>
      </c>
      <c r="F390" s="46">
        <v>303.74</v>
      </c>
    </row>
    <row r="391" spans="1:6">
      <c r="A391" s="488" t="s">
        <v>575</v>
      </c>
      <c r="B391" s="488" t="s">
        <v>576</v>
      </c>
      <c r="C391" s="757" t="s">
        <v>1444</v>
      </c>
      <c r="D391" s="488" t="s">
        <v>2467</v>
      </c>
      <c r="E391" s="101">
        <v>43373</v>
      </c>
      <c r="F391" s="46">
        <v>1785.31</v>
      </c>
    </row>
    <row r="392" spans="1:6">
      <c r="A392" s="488" t="s">
        <v>710</v>
      </c>
      <c r="B392" s="488" t="s">
        <v>711</v>
      </c>
      <c r="C392" s="757" t="s">
        <v>1815</v>
      </c>
      <c r="D392" s="488" t="s">
        <v>2463</v>
      </c>
      <c r="E392" s="101">
        <v>43373</v>
      </c>
      <c r="F392" s="46">
        <v>1000</v>
      </c>
    </row>
    <row r="393" spans="1:6">
      <c r="A393" s="488" t="s">
        <v>863</v>
      </c>
      <c r="B393" s="488" t="s">
        <v>864</v>
      </c>
      <c r="C393" s="757" t="s">
        <v>1816</v>
      </c>
      <c r="D393" s="488" t="s">
        <v>2466</v>
      </c>
      <c r="E393" s="101">
        <v>43373</v>
      </c>
      <c r="F393" s="46">
        <v>2000</v>
      </c>
    </row>
    <row r="394" spans="1:6">
      <c r="A394" s="488" t="s">
        <v>577</v>
      </c>
      <c r="B394" s="488" t="s">
        <v>578</v>
      </c>
      <c r="C394" s="757" t="s">
        <v>1817</v>
      </c>
      <c r="D394" s="488" t="s">
        <v>2467</v>
      </c>
      <c r="E394" s="101">
        <v>43373</v>
      </c>
      <c r="F394" s="46">
        <v>1397.01</v>
      </c>
    </row>
    <row r="395" spans="1:6">
      <c r="A395" s="488" t="s">
        <v>1435</v>
      </c>
      <c r="B395" s="488" t="s">
        <v>1436</v>
      </c>
      <c r="C395" s="757" t="s">
        <v>2547</v>
      </c>
      <c r="D395" s="488" t="s">
        <v>2479</v>
      </c>
      <c r="E395" s="101">
        <v>43373</v>
      </c>
      <c r="F395" s="46">
        <v>521</v>
      </c>
    </row>
    <row r="396" spans="1:6">
      <c r="A396" s="488" t="s">
        <v>1435</v>
      </c>
      <c r="B396" s="488" t="s">
        <v>1436</v>
      </c>
      <c r="C396" s="757" t="s">
        <v>2548</v>
      </c>
      <c r="D396" s="488" t="s">
        <v>2463</v>
      </c>
      <c r="E396" s="101">
        <v>43373</v>
      </c>
      <c r="F396" s="46">
        <v>850</v>
      </c>
    </row>
    <row r="397" spans="1:6">
      <c r="A397" s="488" t="s">
        <v>1435</v>
      </c>
      <c r="B397" s="488" t="s">
        <v>1436</v>
      </c>
      <c r="C397" s="757" t="s">
        <v>2549</v>
      </c>
      <c r="D397" s="488" t="s">
        <v>2478</v>
      </c>
      <c r="E397" s="101">
        <v>43373</v>
      </c>
      <c r="F397" s="46">
        <v>440</v>
      </c>
    </row>
    <row r="398" spans="1:6">
      <c r="A398" s="488" t="s">
        <v>2550</v>
      </c>
      <c r="B398" s="488" t="s">
        <v>1436</v>
      </c>
      <c r="C398" s="757" t="s">
        <v>2551</v>
      </c>
      <c r="D398" s="488" t="s">
        <v>2469</v>
      </c>
      <c r="E398" s="101">
        <v>43373</v>
      </c>
      <c r="F398" s="46">
        <v>900</v>
      </c>
    </row>
    <row r="399" spans="1:6">
      <c r="A399" s="488" t="s">
        <v>346</v>
      </c>
      <c r="B399" s="488" t="s">
        <v>347</v>
      </c>
      <c r="C399" s="757" t="s">
        <v>1818</v>
      </c>
      <c r="D399" s="488" t="s">
        <v>103</v>
      </c>
      <c r="E399" s="101">
        <v>43373</v>
      </c>
      <c r="F399" s="46">
        <v>3000</v>
      </c>
    </row>
    <row r="400" spans="1:6">
      <c r="A400" s="488" t="s">
        <v>865</v>
      </c>
      <c r="B400" s="488" t="s">
        <v>866</v>
      </c>
      <c r="C400" s="757" t="s">
        <v>1502</v>
      </c>
      <c r="D400" s="488" t="s">
        <v>2467</v>
      </c>
      <c r="E400" s="101">
        <v>43373</v>
      </c>
      <c r="F400" s="46">
        <v>4029.17</v>
      </c>
    </row>
    <row r="401" spans="1:6">
      <c r="A401" s="488" t="s">
        <v>581</v>
      </c>
      <c r="B401" s="488" t="s">
        <v>582</v>
      </c>
      <c r="C401" s="757" t="s">
        <v>1819</v>
      </c>
      <c r="D401" s="488" t="s">
        <v>103</v>
      </c>
      <c r="E401" s="101">
        <v>43373</v>
      </c>
      <c r="F401" s="46">
        <v>12423.04</v>
      </c>
    </row>
    <row r="402" spans="1:6">
      <c r="A402" s="488" t="s">
        <v>728</v>
      </c>
      <c r="B402" s="488" t="s">
        <v>729</v>
      </c>
      <c r="C402" s="757" t="s">
        <v>1820</v>
      </c>
      <c r="D402" s="488" t="s">
        <v>2478</v>
      </c>
      <c r="E402" s="101">
        <v>43373</v>
      </c>
      <c r="F402" s="46">
        <v>1700</v>
      </c>
    </row>
    <row r="403" spans="1:6">
      <c r="A403" s="488" t="s">
        <v>764</v>
      </c>
      <c r="B403" s="488" t="s">
        <v>765</v>
      </c>
      <c r="C403" s="757" t="s">
        <v>1821</v>
      </c>
      <c r="D403" s="488" t="s">
        <v>2468</v>
      </c>
      <c r="E403" s="101">
        <v>43373</v>
      </c>
      <c r="F403" s="46">
        <v>500.84</v>
      </c>
    </row>
    <row r="404" spans="1:6">
      <c r="A404" s="488" t="s">
        <v>393</v>
      </c>
      <c r="B404" s="488" t="s">
        <v>394</v>
      </c>
      <c r="C404" s="757" t="s">
        <v>1822</v>
      </c>
      <c r="D404" s="488" t="s">
        <v>2468</v>
      </c>
      <c r="E404" s="101">
        <v>43373</v>
      </c>
      <c r="F404" s="46">
        <v>1741.58</v>
      </c>
    </row>
    <row r="405" spans="1:6">
      <c r="A405" s="488" t="s">
        <v>662</v>
      </c>
      <c r="B405" s="488" t="s">
        <v>663</v>
      </c>
      <c r="C405" s="757" t="s">
        <v>2552</v>
      </c>
      <c r="D405" s="488" t="s">
        <v>2463</v>
      </c>
      <c r="E405" s="101">
        <v>43373</v>
      </c>
      <c r="F405" s="46">
        <v>420.04</v>
      </c>
    </row>
    <row r="406" spans="1:6">
      <c r="A406" s="488" t="s">
        <v>587</v>
      </c>
      <c r="B406" s="488" t="s">
        <v>588</v>
      </c>
      <c r="C406" s="757" t="s">
        <v>1823</v>
      </c>
      <c r="D406" s="488" t="s">
        <v>2468</v>
      </c>
      <c r="E406" s="101">
        <v>43373</v>
      </c>
      <c r="F406" s="46">
        <v>1347.03</v>
      </c>
    </row>
    <row r="407" spans="1:6">
      <c r="A407" s="488" t="s">
        <v>589</v>
      </c>
      <c r="B407" s="488" t="s">
        <v>590</v>
      </c>
      <c r="C407" s="757" t="s">
        <v>1841</v>
      </c>
      <c r="D407" s="488" t="s">
        <v>2468</v>
      </c>
      <c r="E407" s="101">
        <v>43373</v>
      </c>
      <c r="F407" s="46">
        <v>1085.8800000000001</v>
      </c>
    </row>
    <row r="408" spans="1:6">
      <c r="A408" s="488" t="s">
        <v>457</v>
      </c>
      <c r="B408" s="488" t="s">
        <v>458</v>
      </c>
      <c r="C408" s="757" t="s">
        <v>1824</v>
      </c>
      <c r="D408" s="488" t="s">
        <v>2472</v>
      </c>
      <c r="E408" s="101">
        <v>43373</v>
      </c>
      <c r="F408" s="46">
        <v>2380</v>
      </c>
    </row>
    <row r="409" spans="1:6">
      <c r="A409" s="488" t="s">
        <v>676</v>
      </c>
      <c r="B409" s="488" t="s">
        <v>677</v>
      </c>
      <c r="C409" s="757" t="s">
        <v>1825</v>
      </c>
      <c r="D409" s="488" t="s">
        <v>2467</v>
      </c>
      <c r="E409" s="101">
        <v>43373</v>
      </c>
      <c r="F409" s="46">
        <v>408.96</v>
      </c>
    </row>
    <row r="410" spans="1:6">
      <c r="A410" s="488" t="s">
        <v>591</v>
      </c>
      <c r="B410" s="488" t="s">
        <v>592</v>
      </c>
      <c r="C410" s="757" t="s">
        <v>1826</v>
      </c>
      <c r="D410" s="488" t="s">
        <v>2467</v>
      </c>
      <c r="E410" s="101">
        <v>43373</v>
      </c>
      <c r="F410" s="46">
        <v>797.42</v>
      </c>
    </row>
    <row r="411" spans="1:6">
      <c r="A411" s="488" t="s">
        <v>528</v>
      </c>
      <c r="B411" s="488" t="s">
        <v>529</v>
      </c>
      <c r="C411" s="757" t="s">
        <v>1847</v>
      </c>
      <c r="D411" s="488" t="s">
        <v>2471</v>
      </c>
      <c r="E411" s="101">
        <v>43374</v>
      </c>
      <c r="F411" s="46">
        <v>537.47</v>
      </c>
    </row>
    <row r="412" spans="1:6">
      <c r="A412" s="488" t="s">
        <v>2553</v>
      </c>
      <c r="B412" s="488" t="s">
        <v>2554</v>
      </c>
      <c r="C412" s="757" t="s">
        <v>2216</v>
      </c>
      <c r="D412" s="488" t="s">
        <v>2465</v>
      </c>
      <c r="E412" s="101">
        <v>43374</v>
      </c>
      <c r="F412" s="46">
        <v>300</v>
      </c>
    </row>
    <row r="413" spans="1:6">
      <c r="A413" s="488" t="s">
        <v>875</v>
      </c>
      <c r="B413" s="488" t="s">
        <v>876</v>
      </c>
      <c r="C413" s="757" t="s">
        <v>1848</v>
      </c>
      <c r="D413" s="488" t="s">
        <v>2506</v>
      </c>
      <c r="E413" s="101">
        <v>43374</v>
      </c>
      <c r="F413" s="46">
        <v>685.76</v>
      </c>
    </row>
    <row r="414" spans="1:6">
      <c r="A414" s="488" t="s">
        <v>674</v>
      </c>
      <c r="B414" s="488" t="s">
        <v>675</v>
      </c>
      <c r="C414" s="757" t="s">
        <v>1849</v>
      </c>
      <c r="D414" s="488" t="s">
        <v>2467</v>
      </c>
      <c r="E414" s="101">
        <v>43374</v>
      </c>
      <c r="F414" s="46">
        <v>14955.67</v>
      </c>
    </row>
    <row r="415" spans="1:6">
      <c r="A415" s="488" t="s">
        <v>466</v>
      </c>
      <c r="B415" s="488" t="s">
        <v>467</v>
      </c>
      <c r="C415" s="757" t="s">
        <v>1850</v>
      </c>
      <c r="D415" s="488" t="s">
        <v>2468</v>
      </c>
      <c r="E415" s="101">
        <v>43374</v>
      </c>
      <c r="F415" s="46">
        <v>1551.25</v>
      </c>
    </row>
    <row r="416" spans="1:6">
      <c r="A416" s="488" t="s">
        <v>2555</v>
      </c>
      <c r="B416" s="488" t="s">
        <v>2556</v>
      </c>
      <c r="C416" s="757" t="s">
        <v>2557</v>
      </c>
      <c r="D416" s="488" t="s">
        <v>2472</v>
      </c>
      <c r="E416" s="101">
        <v>43374</v>
      </c>
      <c r="F416" s="46">
        <v>7348.66</v>
      </c>
    </row>
    <row r="417" spans="1:6">
      <c r="A417" s="488" t="s">
        <v>395</v>
      </c>
      <c r="B417" s="488" t="s">
        <v>396</v>
      </c>
      <c r="C417" s="757" t="s">
        <v>1851</v>
      </c>
      <c r="D417" s="488" t="s">
        <v>2466</v>
      </c>
      <c r="E417" s="101">
        <v>43374</v>
      </c>
      <c r="F417" s="46">
        <v>1200</v>
      </c>
    </row>
    <row r="418" spans="1:6">
      <c r="A418" s="488" t="s">
        <v>742</v>
      </c>
      <c r="B418" s="488" t="s">
        <v>415</v>
      </c>
      <c r="C418" s="757" t="s">
        <v>1852</v>
      </c>
      <c r="D418" s="488" t="s">
        <v>2465</v>
      </c>
      <c r="E418" s="101">
        <v>43375</v>
      </c>
      <c r="F418" s="46">
        <v>893.02</v>
      </c>
    </row>
    <row r="419" spans="1:6">
      <c r="A419" s="488" t="s">
        <v>847</v>
      </c>
      <c r="B419" s="488" t="s">
        <v>848</v>
      </c>
      <c r="C419" s="757" t="s">
        <v>1853</v>
      </c>
      <c r="D419" s="488" t="s">
        <v>2465</v>
      </c>
      <c r="E419" s="101">
        <v>43375</v>
      </c>
      <c r="F419" s="46">
        <v>1891.59</v>
      </c>
    </row>
    <row r="420" spans="1:6">
      <c r="A420" s="488" t="s">
        <v>418</v>
      </c>
      <c r="B420" s="488" t="s">
        <v>419</v>
      </c>
      <c r="C420" s="757" t="s">
        <v>1854</v>
      </c>
      <c r="D420" s="488" t="s">
        <v>2466</v>
      </c>
      <c r="E420" s="101">
        <v>43375</v>
      </c>
      <c r="F420" s="46">
        <v>1016.66</v>
      </c>
    </row>
    <row r="421" spans="1:6">
      <c r="A421" s="488" t="s">
        <v>422</v>
      </c>
      <c r="B421" s="488" t="s">
        <v>423</v>
      </c>
      <c r="C421" s="757" t="s">
        <v>1855</v>
      </c>
      <c r="D421" s="488" t="s">
        <v>2468</v>
      </c>
      <c r="E421" s="101">
        <v>43375</v>
      </c>
      <c r="F421" s="46">
        <v>2705.15</v>
      </c>
    </row>
    <row r="422" spans="1:6">
      <c r="A422" s="488" t="s">
        <v>2558</v>
      </c>
      <c r="B422" s="488" t="s">
        <v>2559</v>
      </c>
      <c r="C422" s="757" t="s">
        <v>2560</v>
      </c>
      <c r="D422" s="488" t="s">
        <v>2467</v>
      </c>
      <c r="E422" s="101">
        <v>43376</v>
      </c>
      <c r="F422" s="46">
        <v>5000</v>
      </c>
    </row>
    <row r="423" spans="1:6">
      <c r="A423" s="488" t="s">
        <v>348</v>
      </c>
      <c r="B423" s="488" t="s">
        <v>349</v>
      </c>
      <c r="C423" s="757" t="s">
        <v>1856</v>
      </c>
      <c r="D423" s="488" t="s">
        <v>2468</v>
      </c>
      <c r="E423" s="101">
        <v>43376</v>
      </c>
      <c r="F423" s="46">
        <v>654.35</v>
      </c>
    </row>
    <row r="424" spans="1:6">
      <c r="A424" s="488" t="s">
        <v>326</v>
      </c>
      <c r="B424" s="488" t="s">
        <v>327</v>
      </c>
      <c r="C424" s="757" t="s">
        <v>1857</v>
      </c>
      <c r="D424" s="488" t="s">
        <v>2468</v>
      </c>
      <c r="E424" s="101">
        <v>43376</v>
      </c>
      <c r="F424" s="46">
        <v>2000</v>
      </c>
    </row>
    <row r="425" spans="1:6">
      <c r="A425" s="488" t="s">
        <v>350</v>
      </c>
      <c r="B425" s="488" t="s">
        <v>351</v>
      </c>
      <c r="C425" s="757" t="s">
        <v>1862</v>
      </c>
      <c r="D425" s="488" t="s">
        <v>2469</v>
      </c>
      <c r="E425" s="101">
        <v>43376</v>
      </c>
      <c r="F425" s="46">
        <v>500</v>
      </c>
    </row>
    <row r="426" spans="1:6">
      <c r="A426" s="488" t="s">
        <v>839</v>
      </c>
      <c r="B426" s="488" t="s">
        <v>840</v>
      </c>
      <c r="C426" s="757" t="s">
        <v>1860</v>
      </c>
      <c r="D426" s="488" t="s">
        <v>2465</v>
      </c>
      <c r="E426" s="101">
        <v>43376</v>
      </c>
      <c r="F426" s="46">
        <v>1086.6400000000001</v>
      </c>
    </row>
    <row r="427" spans="1:6">
      <c r="A427" s="488" t="s">
        <v>340</v>
      </c>
      <c r="B427" s="488" t="s">
        <v>341</v>
      </c>
      <c r="C427" s="757" t="s">
        <v>1861</v>
      </c>
      <c r="D427" s="488" t="s">
        <v>2468</v>
      </c>
      <c r="E427" s="101">
        <v>43376</v>
      </c>
      <c r="F427" s="46">
        <v>666.66</v>
      </c>
    </row>
    <row r="428" spans="1:6">
      <c r="A428" s="488" t="s">
        <v>499</v>
      </c>
      <c r="B428" s="488" t="s">
        <v>500</v>
      </c>
      <c r="C428" s="757" t="s">
        <v>1858</v>
      </c>
      <c r="D428" s="488" t="s">
        <v>2467</v>
      </c>
      <c r="E428" s="101">
        <v>43376</v>
      </c>
      <c r="F428" s="46">
        <v>767.05</v>
      </c>
    </row>
    <row r="429" spans="1:6">
      <c r="A429" s="488" t="s">
        <v>510</v>
      </c>
      <c r="B429" s="488" t="s">
        <v>511</v>
      </c>
      <c r="C429" s="757" t="s">
        <v>1859</v>
      </c>
      <c r="D429" s="488" t="s">
        <v>2467</v>
      </c>
      <c r="E429" s="101">
        <v>43376</v>
      </c>
      <c r="F429" s="46">
        <v>2500</v>
      </c>
    </row>
    <row r="430" spans="1:6">
      <c r="A430" s="488" t="s">
        <v>528</v>
      </c>
      <c r="B430" s="488" t="s">
        <v>529</v>
      </c>
      <c r="C430" s="757" t="s">
        <v>1863</v>
      </c>
      <c r="D430" s="488" t="s">
        <v>2471</v>
      </c>
      <c r="E430" s="101">
        <v>43377</v>
      </c>
      <c r="F430" s="46">
        <v>900</v>
      </c>
    </row>
    <row r="431" spans="1:6">
      <c r="A431" s="488" t="s">
        <v>678</v>
      </c>
      <c r="B431" s="488" t="s">
        <v>679</v>
      </c>
      <c r="C431" s="757" t="s">
        <v>1864</v>
      </c>
      <c r="D431" s="488" t="s">
        <v>2522</v>
      </c>
      <c r="E431" s="101">
        <v>43377</v>
      </c>
      <c r="F431" s="46">
        <v>598.77</v>
      </c>
    </row>
    <row r="432" spans="1:6">
      <c r="A432" s="488" t="s">
        <v>1437</v>
      </c>
      <c r="B432" s="488" t="s">
        <v>1438</v>
      </c>
      <c r="C432" s="757" t="s">
        <v>1865</v>
      </c>
      <c r="D432" s="488" t="s">
        <v>2467</v>
      </c>
      <c r="E432" s="101">
        <v>43377</v>
      </c>
      <c r="F432" s="46">
        <v>471.96</v>
      </c>
    </row>
    <row r="433" spans="1:6">
      <c r="A433" s="488" t="s">
        <v>350</v>
      </c>
      <c r="B433" s="488" t="s">
        <v>351</v>
      </c>
      <c r="C433" s="757" t="s">
        <v>1889</v>
      </c>
      <c r="D433" s="488" t="s">
        <v>2469</v>
      </c>
      <c r="E433" s="101">
        <v>43378</v>
      </c>
      <c r="F433" s="46">
        <v>500</v>
      </c>
    </row>
    <row r="434" spans="1:6">
      <c r="A434" s="488" t="s">
        <v>732</v>
      </c>
      <c r="B434" s="488" t="s">
        <v>733</v>
      </c>
      <c r="C434" s="757" t="s">
        <v>1451</v>
      </c>
      <c r="D434" s="488" t="s">
        <v>2467</v>
      </c>
      <c r="E434" s="101">
        <v>43378</v>
      </c>
      <c r="F434" s="46">
        <v>449.41</v>
      </c>
    </row>
    <row r="435" spans="1:6">
      <c r="A435" s="488" t="s">
        <v>459</v>
      </c>
      <c r="B435" s="488" t="s">
        <v>460</v>
      </c>
      <c r="C435" s="757" t="s">
        <v>1866</v>
      </c>
      <c r="D435" s="488" t="s">
        <v>2468</v>
      </c>
      <c r="E435" s="101">
        <v>43378</v>
      </c>
      <c r="F435" s="46">
        <v>746.17</v>
      </c>
    </row>
    <row r="436" spans="1:6">
      <c r="A436" s="488" t="s">
        <v>886</v>
      </c>
      <c r="B436" s="488" t="s">
        <v>723</v>
      </c>
      <c r="C436" s="757" t="s">
        <v>1867</v>
      </c>
      <c r="D436" s="488" t="s">
        <v>2479</v>
      </c>
      <c r="E436" s="101">
        <v>43378</v>
      </c>
      <c r="F436" s="46">
        <v>1098.32</v>
      </c>
    </row>
    <row r="437" spans="1:6">
      <c r="A437" s="488" t="s">
        <v>322</v>
      </c>
      <c r="B437" s="488" t="s">
        <v>323</v>
      </c>
      <c r="C437" s="757" t="s">
        <v>1868</v>
      </c>
      <c r="D437" s="488" t="s">
        <v>2472</v>
      </c>
      <c r="E437" s="101">
        <v>43378</v>
      </c>
      <c r="F437" s="46">
        <v>2000</v>
      </c>
    </row>
    <row r="438" spans="1:6">
      <c r="A438" s="488" t="s">
        <v>1433</v>
      </c>
      <c r="B438" s="488" t="s">
        <v>1434</v>
      </c>
      <c r="C438" s="757" t="s">
        <v>1674</v>
      </c>
      <c r="D438" s="488" t="s">
        <v>2468</v>
      </c>
      <c r="E438" s="101">
        <v>43378</v>
      </c>
      <c r="F438" s="46">
        <v>574.91999999999996</v>
      </c>
    </row>
    <row r="439" spans="1:6">
      <c r="A439" s="488" t="s">
        <v>409</v>
      </c>
      <c r="B439" s="488" t="s">
        <v>410</v>
      </c>
      <c r="C439" s="757" t="s">
        <v>1869</v>
      </c>
      <c r="D439" s="488" t="s">
        <v>2468</v>
      </c>
      <c r="E439" s="101">
        <v>43378</v>
      </c>
      <c r="F439" s="46">
        <v>642.12</v>
      </c>
    </row>
    <row r="440" spans="1:6">
      <c r="A440" s="488" t="s">
        <v>1887</v>
      </c>
      <c r="B440" s="488" t="s">
        <v>2561</v>
      </c>
      <c r="C440" s="757" t="s">
        <v>1888</v>
      </c>
      <c r="D440" s="488" t="s">
        <v>2468</v>
      </c>
      <c r="E440" s="101">
        <v>43378</v>
      </c>
      <c r="F440" s="46">
        <v>3045.13</v>
      </c>
    </row>
    <row r="441" spans="1:6">
      <c r="A441" s="488" t="s">
        <v>684</v>
      </c>
      <c r="B441" s="488" t="s">
        <v>685</v>
      </c>
      <c r="C441" s="757" t="s">
        <v>1870</v>
      </c>
      <c r="D441" s="488" t="s">
        <v>2510</v>
      </c>
      <c r="E441" s="101">
        <v>43378</v>
      </c>
      <c r="F441" s="46">
        <v>787.43</v>
      </c>
    </row>
    <row r="442" spans="1:6">
      <c r="A442" s="488" t="s">
        <v>607</v>
      </c>
      <c r="B442" s="488" t="s">
        <v>608</v>
      </c>
      <c r="C442" s="757" t="s">
        <v>1871</v>
      </c>
      <c r="D442" s="488" t="s">
        <v>103</v>
      </c>
      <c r="E442" s="101">
        <v>43378</v>
      </c>
      <c r="F442" s="46">
        <v>1441.69</v>
      </c>
    </row>
    <row r="443" spans="1:6">
      <c r="A443" s="488" t="s">
        <v>877</v>
      </c>
      <c r="B443" s="488" t="s">
        <v>878</v>
      </c>
      <c r="C443" s="757" t="s">
        <v>1872</v>
      </c>
      <c r="D443" s="488" t="s">
        <v>2467</v>
      </c>
      <c r="E443" s="101">
        <v>43378</v>
      </c>
      <c r="F443" s="46">
        <v>1363.22</v>
      </c>
    </row>
    <row r="444" spans="1:6">
      <c r="A444" s="488" t="s">
        <v>368</v>
      </c>
      <c r="B444" s="488" t="s">
        <v>369</v>
      </c>
      <c r="C444" s="757" t="s">
        <v>1873</v>
      </c>
      <c r="D444" s="488" t="s">
        <v>2562</v>
      </c>
      <c r="E444" s="101">
        <v>43378</v>
      </c>
      <c r="F444" s="46">
        <v>5547.4</v>
      </c>
    </row>
    <row r="445" spans="1:6">
      <c r="A445" s="488" t="s">
        <v>879</v>
      </c>
      <c r="B445" s="488" t="s">
        <v>709</v>
      </c>
      <c r="C445" s="757" t="s">
        <v>1874</v>
      </c>
      <c r="D445" s="488" t="s">
        <v>2467</v>
      </c>
      <c r="E445" s="101">
        <v>43378</v>
      </c>
      <c r="F445" s="46">
        <v>1425.67</v>
      </c>
    </row>
    <row r="446" spans="1:6">
      <c r="A446" s="488" t="s">
        <v>880</v>
      </c>
      <c r="B446" s="488" t="s">
        <v>881</v>
      </c>
      <c r="C446" s="757" t="s">
        <v>1875</v>
      </c>
      <c r="D446" s="488" t="s">
        <v>2465</v>
      </c>
      <c r="E446" s="101">
        <v>43378</v>
      </c>
      <c r="F446" s="46">
        <v>657.3</v>
      </c>
    </row>
    <row r="447" spans="1:6">
      <c r="A447" s="488" t="s">
        <v>714</v>
      </c>
      <c r="B447" s="488" t="s">
        <v>715</v>
      </c>
      <c r="C447" s="757" t="s">
        <v>1876</v>
      </c>
      <c r="D447" s="488" t="s">
        <v>2471</v>
      </c>
      <c r="E447" s="101">
        <v>43378</v>
      </c>
      <c r="F447" s="46">
        <v>2080.42</v>
      </c>
    </row>
    <row r="448" spans="1:6">
      <c r="A448" s="488" t="s">
        <v>883</v>
      </c>
      <c r="B448" s="488" t="s">
        <v>681</v>
      </c>
      <c r="C448" s="757" t="s">
        <v>1877</v>
      </c>
      <c r="D448" s="488" t="s">
        <v>2522</v>
      </c>
      <c r="E448" s="101">
        <v>43378</v>
      </c>
      <c r="F448" s="46">
        <v>4962.1499999999996</v>
      </c>
    </row>
    <row r="449" spans="1:6">
      <c r="A449" s="488" t="s">
        <v>884</v>
      </c>
      <c r="B449" s="488" t="s">
        <v>885</v>
      </c>
      <c r="C449" s="757" t="s">
        <v>1878</v>
      </c>
      <c r="D449" s="488" t="s">
        <v>2464</v>
      </c>
      <c r="E449" s="101">
        <v>43378</v>
      </c>
      <c r="F449" s="46">
        <v>4496.8900000000003</v>
      </c>
    </row>
    <row r="450" spans="1:6">
      <c r="A450" s="488" t="s">
        <v>696</v>
      </c>
      <c r="B450" s="488" t="s">
        <v>697</v>
      </c>
      <c r="C450" s="757" t="s">
        <v>1879</v>
      </c>
      <c r="D450" s="488" t="s">
        <v>2463</v>
      </c>
      <c r="E450" s="101">
        <v>43378</v>
      </c>
      <c r="F450" s="46">
        <v>3975.64</v>
      </c>
    </row>
    <row r="451" spans="1:6">
      <c r="A451" s="488" t="s">
        <v>379</v>
      </c>
      <c r="B451" s="488" t="s">
        <v>380</v>
      </c>
      <c r="C451" s="757" t="s">
        <v>1880</v>
      </c>
      <c r="D451" s="488" t="s">
        <v>2472</v>
      </c>
      <c r="E451" s="101">
        <v>43378</v>
      </c>
      <c r="F451" s="46">
        <v>1526.99</v>
      </c>
    </row>
    <row r="452" spans="1:6">
      <c r="A452" s="488" t="s">
        <v>383</v>
      </c>
      <c r="B452" s="488" t="s">
        <v>384</v>
      </c>
      <c r="C452" s="757" t="s">
        <v>1881</v>
      </c>
      <c r="D452" s="488" t="s">
        <v>2476</v>
      </c>
      <c r="E452" s="101">
        <v>43378</v>
      </c>
      <c r="F452" s="46">
        <v>469.19</v>
      </c>
    </row>
    <row r="453" spans="1:6">
      <c r="A453" s="488" t="s">
        <v>475</v>
      </c>
      <c r="B453" s="488" t="s">
        <v>476</v>
      </c>
      <c r="C453" s="757" t="s">
        <v>1882</v>
      </c>
      <c r="D453" s="488" t="s">
        <v>103</v>
      </c>
      <c r="E453" s="101">
        <v>43378</v>
      </c>
      <c r="F453" s="46">
        <v>1588.89</v>
      </c>
    </row>
    <row r="454" spans="1:6">
      <c r="A454" s="488" t="s">
        <v>776</v>
      </c>
      <c r="B454" s="488" t="s">
        <v>777</v>
      </c>
      <c r="C454" s="757" t="s">
        <v>1886</v>
      </c>
      <c r="D454" s="488" t="s">
        <v>2468</v>
      </c>
      <c r="E454" s="101">
        <v>43378</v>
      </c>
      <c r="F454" s="46">
        <v>4247.5</v>
      </c>
    </row>
    <row r="455" spans="1:6">
      <c r="A455" s="488" t="s">
        <v>431</v>
      </c>
      <c r="B455" s="488" t="s">
        <v>432</v>
      </c>
      <c r="C455" s="757" t="s">
        <v>1883</v>
      </c>
      <c r="D455" s="488" t="s">
        <v>2472</v>
      </c>
      <c r="E455" s="101">
        <v>43378</v>
      </c>
      <c r="F455" s="46">
        <v>402</v>
      </c>
    </row>
    <row r="456" spans="1:6">
      <c r="A456" s="488" t="s">
        <v>2563</v>
      </c>
      <c r="B456" s="488" t="s">
        <v>2564</v>
      </c>
      <c r="C456" s="757" t="s">
        <v>2258</v>
      </c>
      <c r="D456" s="488" t="s">
        <v>2467</v>
      </c>
      <c r="E456" s="101">
        <v>43378</v>
      </c>
      <c r="F456" s="46">
        <v>1372.01</v>
      </c>
    </row>
    <row r="457" spans="1:6">
      <c r="A457" s="488" t="s">
        <v>865</v>
      </c>
      <c r="B457" s="488" t="s">
        <v>866</v>
      </c>
      <c r="C457" s="757" t="s">
        <v>1884</v>
      </c>
      <c r="D457" s="488" t="s">
        <v>2467</v>
      </c>
      <c r="E457" s="101">
        <v>43378</v>
      </c>
      <c r="F457" s="46">
        <v>2218.11</v>
      </c>
    </row>
    <row r="458" spans="1:6">
      <c r="A458" s="488" t="s">
        <v>393</v>
      </c>
      <c r="B458" s="488" t="s">
        <v>394</v>
      </c>
      <c r="C458" s="757" t="s">
        <v>1885</v>
      </c>
      <c r="D458" s="488" t="s">
        <v>2468</v>
      </c>
      <c r="E458" s="101">
        <v>43378</v>
      </c>
      <c r="F458" s="46">
        <v>1500</v>
      </c>
    </row>
    <row r="459" spans="1:6">
      <c r="A459" s="488" t="s">
        <v>397</v>
      </c>
      <c r="B459" s="488" t="s">
        <v>398</v>
      </c>
      <c r="C459" s="757" t="s">
        <v>2565</v>
      </c>
      <c r="D459" s="488" t="s">
        <v>2493</v>
      </c>
      <c r="E459" s="101">
        <v>43379</v>
      </c>
      <c r="F459" s="46">
        <v>481.2</v>
      </c>
    </row>
    <row r="460" spans="1:6">
      <c r="A460" s="488" t="s">
        <v>887</v>
      </c>
      <c r="B460" s="488" t="s">
        <v>687</v>
      </c>
      <c r="C460" s="757" t="s">
        <v>1890</v>
      </c>
      <c r="D460" s="488" t="s">
        <v>2465</v>
      </c>
      <c r="E460" s="101">
        <v>43379</v>
      </c>
      <c r="F460" s="46">
        <v>2411.84</v>
      </c>
    </row>
    <row r="461" spans="1:6">
      <c r="A461" s="488" t="s">
        <v>888</v>
      </c>
      <c r="B461" s="488" t="s">
        <v>889</v>
      </c>
      <c r="C461" s="757" t="s">
        <v>1891</v>
      </c>
      <c r="D461" s="488" t="s">
        <v>2478</v>
      </c>
      <c r="E461" s="101">
        <v>43379</v>
      </c>
      <c r="F461" s="46">
        <v>947.96</v>
      </c>
    </row>
    <row r="462" spans="1:6">
      <c r="A462" s="488" t="s">
        <v>890</v>
      </c>
      <c r="B462" s="488" t="s">
        <v>891</v>
      </c>
      <c r="C462" s="757" t="s">
        <v>1892</v>
      </c>
      <c r="D462" s="488" t="s">
        <v>2472</v>
      </c>
      <c r="E462" s="101">
        <v>43380</v>
      </c>
      <c r="F462" s="46">
        <v>3731.03</v>
      </c>
    </row>
    <row r="463" spans="1:6">
      <c r="A463" s="488" t="s">
        <v>336</v>
      </c>
      <c r="B463" s="488" t="s">
        <v>337</v>
      </c>
      <c r="C463" s="757" t="s">
        <v>1893</v>
      </c>
      <c r="D463" s="488" t="s">
        <v>2566</v>
      </c>
      <c r="E463" s="101">
        <v>43380</v>
      </c>
      <c r="F463" s="46">
        <v>720</v>
      </c>
    </row>
    <row r="464" spans="1:6">
      <c r="A464" s="488" t="s">
        <v>338</v>
      </c>
      <c r="B464" s="488" t="s">
        <v>339</v>
      </c>
      <c r="C464" s="757" t="s">
        <v>1894</v>
      </c>
      <c r="D464" s="488" t="s">
        <v>2476</v>
      </c>
      <c r="E464" s="101">
        <v>43380</v>
      </c>
      <c r="F464" s="46">
        <v>2255</v>
      </c>
    </row>
    <row r="465" spans="1:6">
      <c r="A465" s="488" t="s">
        <v>704</v>
      </c>
      <c r="B465" s="488" t="s">
        <v>705</v>
      </c>
      <c r="C465" s="757" t="s">
        <v>1895</v>
      </c>
      <c r="D465" s="488" t="s">
        <v>2463</v>
      </c>
      <c r="E465" s="101">
        <v>43380</v>
      </c>
      <c r="F465" s="46">
        <v>1393.19</v>
      </c>
    </row>
    <row r="466" spans="1:6">
      <c r="A466" s="488" t="s">
        <v>789</v>
      </c>
      <c r="B466" s="488" t="s">
        <v>504</v>
      </c>
      <c r="C466" s="757" t="s">
        <v>1896</v>
      </c>
      <c r="D466" s="488" t="s">
        <v>103</v>
      </c>
      <c r="E466" s="101">
        <v>43380</v>
      </c>
      <c r="F466" s="46">
        <v>1045.0899999999999</v>
      </c>
    </row>
    <row r="467" spans="1:6">
      <c r="A467" s="488" t="s">
        <v>528</v>
      </c>
      <c r="B467" s="488" t="s">
        <v>529</v>
      </c>
      <c r="C467" s="757" t="s">
        <v>1897</v>
      </c>
      <c r="D467" s="488" t="s">
        <v>2471</v>
      </c>
      <c r="E467" s="101">
        <v>43380</v>
      </c>
      <c r="F467" s="46">
        <v>1150</v>
      </c>
    </row>
    <row r="468" spans="1:6">
      <c r="A468" s="488" t="s">
        <v>747</v>
      </c>
      <c r="B468" s="488" t="s">
        <v>748</v>
      </c>
      <c r="C468" s="757" t="s">
        <v>1898</v>
      </c>
      <c r="D468" s="488" t="s">
        <v>2496</v>
      </c>
      <c r="E468" s="101">
        <v>43380</v>
      </c>
      <c r="F468" s="46">
        <v>605.29</v>
      </c>
    </row>
    <row r="469" spans="1:6">
      <c r="A469" s="488" t="s">
        <v>416</v>
      </c>
      <c r="B469" s="488" t="s">
        <v>417</v>
      </c>
      <c r="C469" s="757" t="s">
        <v>1899</v>
      </c>
      <c r="D469" s="488" t="s">
        <v>2468</v>
      </c>
      <c r="E469" s="101">
        <v>43380</v>
      </c>
      <c r="F469" s="46">
        <v>1172.22</v>
      </c>
    </row>
    <row r="470" spans="1:6">
      <c r="A470" s="488" t="s">
        <v>499</v>
      </c>
      <c r="B470" s="488" t="s">
        <v>500</v>
      </c>
      <c r="C470" s="757" t="s">
        <v>1900</v>
      </c>
      <c r="D470" s="488" t="s">
        <v>2467</v>
      </c>
      <c r="E470" s="101">
        <v>43380</v>
      </c>
      <c r="F470" s="46">
        <v>900</v>
      </c>
    </row>
    <row r="471" spans="1:6">
      <c r="A471" s="488" t="s">
        <v>395</v>
      </c>
      <c r="B471" s="488" t="s">
        <v>396</v>
      </c>
      <c r="C471" s="757" t="s">
        <v>1901</v>
      </c>
      <c r="D471" s="488" t="s">
        <v>2466</v>
      </c>
      <c r="E471" s="101">
        <v>43380</v>
      </c>
      <c r="F471" s="46">
        <v>1240.3499999999999</v>
      </c>
    </row>
    <row r="472" spans="1:6">
      <c r="A472" s="488" t="s">
        <v>497</v>
      </c>
      <c r="B472" s="488" t="s">
        <v>498</v>
      </c>
      <c r="C472" s="757" t="s">
        <v>1902</v>
      </c>
      <c r="D472" s="488" t="s">
        <v>2494</v>
      </c>
      <c r="E472" s="101">
        <v>43381</v>
      </c>
      <c r="F472" s="46">
        <v>820</v>
      </c>
    </row>
    <row r="473" spans="1:6">
      <c r="A473" s="488" t="s">
        <v>1652</v>
      </c>
      <c r="B473" s="488" t="s">
        <v>2512</v>
      </c>
      <c r="C473" s="757" t="s">
        <v>1911</v>
      </c>
      <c r="D473" s="488" t="s">
        <v>2493</v>
      </c>
      <c r="E473" s="101">
        <v>43381</v>
      </c>
      <c r="F473" s="46">
        <v>1445.79</v>
      </c>
    </row>
    <row r="474" spans="1:6">
      <c r="A474" s="488" t="s">
        <v>350</v>
      </c>
      <c r="B474" s="488" t="s">
        <v>351</v>
      </c>
      <c r="C474" s="757" t="s">
        <v>1903</v>
      </c>
      <c r="D474" s="488" t="s">
        <v>2469</v>
      </c>
      <c r="E474" s="101">
        <v>43381</v>
      </c>
      <c r="F474" s="46">
        <v>987.17</v>
      </c>
    </row>
    <row r="475" spans="1:6">
      <c r="A475" s="488" t="s">
        <v>740</v>
      </c>
      <c r="B475" s="488" t="s">
        <v>741</v>
      </c>
      <c r="C475" s="757" t="s">
        <v>1904</v>
      </c>
      <c r="D475" s="488" t="s">
        <v>2466</v>
      </c>
      <c r="E475" s="101">
        <v>43381</v>
      </c>
      <c r="F475" s="46">
        <v>1777.76</v>
      </c>
    </row>
    <row r="476" spans="1:6">
      <c r="A476" s="488" t="s">
        <v>607</v>
      </c>
      <c r="B476" s="488" t="s">
        <v>608</v>
      </c>
      <c r="C476" s="757" t="s">
        <v>1481</v>
      </c>
      <c r="D476" s="488" t="s">
        <v>103</v>
      </c>
      <c r="E476" s="101">
        <v>43381</v>
      </c>
      <c r="F476" s="46">
        <v>1441.69</v>
      </c>
    </row>
    <row r="477" spans="1:6">
      <c r="A477" s="488" t="s">
        <v>354</v>
      </c>
      <c r="B477" s="488" t="s">
        <v>355</v>
      </c>
      <c r="C477" s="757" t="s">
        <v>1905</v>
      </c>
      <c r="D477" s="488" t="s">
        <v>2470</v>
      </c>
      <c r="E477" s="101">
        <v>43381</v>
      </c>
      <c r="F477" s="46">
        <v>1200</v>
      </c>
    </row>
    <row r="478" spans="1:6">
      <c r="A478" s="488" t="s">
        <v>477</v>
      </c>
      <c r="B478" s="488" t="s">
        <v>478</v>
      </c>
      <c r="C478" s="757" t="s">
        <v>1906</v>
      </c>
      <c r="D478" s="488" t="s">
        <v>2470</v>
      </c>
      <c r="E478" s="101">
        <v>43381</v>
      </c>
      <c r="F478" s="46">
        <v>1385.43</v>
      </c>
    </row>
    <row r="479" spans="1:6">
      <c r="A479" s="488" t="s">
        <v>716</v>
      </c>
      <c r="B479" s="488" t="s">
        <v>717</v>
      </c>
      <c r="C479" s="757" t="s">
        <v>1907</v>
      </c>
      <c r="D479" s="488" t="s">
        <v>2464</v>
      </c>
      <c r="E479" s="101">
        <v>43381</v>
      </c>
      <c r="F479" s="46">
        <v>588.46</v>
      </c>
    </row>
    <row r="480" spans="1:6">
      <c r="A480" s="488" t="s">
        <v>742</v>
      </c>
      <c r="B480" s="488" t="s">
        <v>415</v>
      </c>
      <c r="C480" s="757" t="s">
        <v>1908</v>
      </c>
      <c r="D480" s="488" t="s">
        <v>2465</v>
      </c>
      <c r="E480" s="101">
        <v>43381</v>
      </c>
      <c r="F480" s="46">
        <v>893.02</v>
      </c>
    </row>
    <row r="481" spans="1:6">
      <c r="A481" s="488" t="s">
        <v>340</v>
      </c>
      <c r="B481" s="488" t="s">
        <v>341</v>
      </c>
      <c r="C481" s="757" t="s">
        <v>1910</v>
      </c>
      <c r="D481" s="488" t="s">
        <v>2468</v>
      </c>
      <c r="E481" s="101">
        <v>43381</v>
      </c>
      <c r="F481" s="46">
        <v>666.66</v>
      </c>
    </row>
    <row r="482" spans="1:6">
      <c r="A482" s="488" t="s">
        <v>420</v>
      </c>
      <c r="B482" s="488" t="s">
        <v>421</v>
      </c>
      <c r="C482" s="757" t="s">
        <v>2567</v>
      </c>
      <c r="D482" s="488" t="s">
        <v>2468</v>
      </c>
      <c r="E482" s="101">
        <v>43381</v>
      </c>
      <c r="F482" s="46">
        <v>1145.2</v>
      </c>
    </row>
    <row r="483" spans="1:6">
      <c r="A483" s="488" t="s">
        <v>457</v>
      </c>
      <c r="B483" s="488" t="s">
        <v>458</v>
      </c>
      <c r="C483" s="757" t="s">
        <v>1909</v>
      </c>
      <c r="D483" s="488" t="s">
        <v>2472</v>
      </c>
      <c r="E483" s="101">
        <v>43381</v>
      </c>
      <c r="F483" s="46">
        <v>2380</v>
      </c>
    </row>
    <row r="484" spans="1:6">
      <c r="A484" s="488" t="s">
        <v>350</v>
      </c>
      <c r="B484" s="488" t="s">
        <v>351</v>
      </c>
      <c r="C484" s="757" t="s">
        <v>1914</v>
      </c>
      <c r="D484" s="488" t="s">
        <v>2469</v>
      </c>
      <c r="E484" s="101">
        <v>43382</v>
      </c>
      <c r="F484" s="46">
        <v>500</v>
      </c>
    </row>
    <row r="485" spans="1:6">
      <c r="A485" s="488" t="s">
        <v>429</v>
      </c>
      <c r="B485" s="488" t="s">
        <v>430</v>
      </c>
      <c r="C485" s="757" t="s">
        <v>1912</v>
      </c>
      <c r="D485" s="488" t="s">
        <v>2495</v>
      </c>
      <c r="E485" s="101">
        <v>43382</v>
      </c>
      <c r="F485" s="46">
        <v>880</v>
      </c>
    </row>
    <row r="486" spans="1:6">
      <c r="A486" s="488" t="s">
        <v>892</v>
      </c>
      <c r="B486" s="488" t="s">
        <v>893</v>
      </c>
      <c r="C486" s="757" t="s">
        <v>1913</v>
      </c>
      <c r="D486" s="488" t="s">
        <v>2472</v>
      </c>
      <c r="E486" s="101">
        <v>43382</v>
      </c>
      <c r="F486" s="46">
        <v>4858.42</v>
      </c>
    </row>
    <row r="487" spans="1:6">
      <c r="A487" s="488" t="s">
        <v>894</v>
      </c>
      <c r="B487" s="488" t="s">
        <v>349</v>
      </c>
      <c r="C487" s="757" t="s">
        <v>1915</v>
      </c>
      <c r="D487" s="488" t="s">
        <v>2511</v>
      </c>
      <c r="E487" s="101">
        <v>43383</v>
      </c>
      <c r="F487" s="46">
        <v>771.69</v>
      </c>
    </row>
    <row r="488" spans="1:6">
      <c r="A488" s="488" t="s">
        <v>734</v>
      </c>
      <c r="B488" s="488" t="s">
        <v>735</v>
      </c>
      <c r="C488" s="757" t="s">
        <v>1916</v>
      </c>
      <c r="D488" s="488" t="s">
        <v>2478</v>
      </c>
      <c r="E488" s="101">
        <v>43383</v>
      </c>
      <c r="F488" s="46">
        <v>7268.85</v>
      </c>
    </row>
    <row r="489" spans="1:6">
      <c r="A489" s="488" t="s">
        <v>855</v>
      </c>
      <c r="B489" s="488" t="s">
        <v>856</v>
      </c>
      <c r="C489" s="757" t="s">
        <v>1932</v>
      </c>
      <c r="D489" s="488" t="s">
        <v>103</v>
      </c>
      <c r="E489" s="101">
        <v>43383</v>
      </c>
      <c r="F489" s="46">
        <v>783.69</v>
      </c>
    </row>
    <row r="490" spans="1:6">
      <c r="A490" s="488" t="s">
        <v>322</v>
      </c>
      <c r="B490" s="488" t="s">
        <v>323</v>
      </c>
      <c r="C490" s="757" t="s">
        <v>2568</v>
      </c>
      <c r="D490" s="488" t="s">
        <v>2472</v>
      </c>
      <c r="E490" s="101">
        <v>43383</v>
      </c>
      <c r="F490" s="46">
        <v>2000</v>
      </c>
    </row>
    <row r="491" spans="1:6">
      <c r="A491" s="488" t="s">
        <v>1691</v>
      </c>
      <c r="B491" s="488" t="s">
        <v>2520</v>
      </c>
      <c r="C491" s="757" t="s">
        <v>1933</v>
      </c>
      <c r="D491" s="488" t="s">
        <v>2472</v>
      </c>
      <c r="E491" s="101">
        <v>43383</v>
      </c>
      <c r="F491" s="46">
        <v>1932.48</v>
      </c>
    </row>
    <row r="492" spans="1:6">
      <c r="A492" s="488" t="s">
        <v>407</v>
      </c>
      <c r="B492" s="488" t="s">
        <v>408</v>
      </c>
      <c r="C492" s="757" t="s">
        <v>1930</v>
      </c>
      <c r="D492" s="488" t="s">
        <v>2472</v>
      </c>
      <c r="E492" s="101">
        <v>43383</v>
      </c>
      <c r="F492" s="46">
        <v>2618.42</v>
      </c>
    </row>
    <row r="493" spans="1:6">
      <c r="A493" s="488" t="s">
        <v>409</v>
      </c>
      <c r="B493" s="488" t="s">
        <v>410</v>
      </c>
      <c r="C493" s="757" t="s">
        <v>1931</v>
      </c>
      <c r="D493" s="488" t="s">
        <v>2468</v>
      </c>
      <c r="E493" s="101">
        <v>43383</v>
      </c>
      <c r="F493" s="46">
        <v>900</v>
      </c>
    </row>
    <row r="494" spans="1:6">
      <c r="A494" s="488" t="s">
        <v>356</v>
      </c>
      <c r="B494" s="488" t="s">
        <v>357</v>
      </c>
      <c r="C494" s="757" t="s">
        <v>1917</v>
      </c>
      <c r="D494" s="488" t="s">
        <v>2465</v>
      </c>
      <c r="E494" s="101">
        <v>43383</v>
      </c>
      <c r="F494" s="46">
        <v>4290.1000000000004</v>
      </c>
    </row>
    <row r="495" spans="1:6">
      <c r="A495" s="488" t="s">
        <v>411</v>
      </c>
      <c r="B495" s="488" t="s">
        <v>412</v>
      </c>
      <c r="C495" s="757" t="s">
        <v>1918</v>
      </c>
      <c r="D495" s="488" t="s">
        <v>2465</v>
      </c>
      <c r="E495" s="101">
        <v>43383</v>
      </c>
      <c r="F495" s="46">
        <v>439.27</v>
      </c>
    </row>
    <row r="496" spans="1:6">
      <c r="A496" s="488" t="s">
        <v>411</v>
      </c>
      <c r="B496" s="488" t="s">
        <v>412</v>
      </c>
      <c r="C496" s="757" t="s">
        <v>2569</v>
      </c>
      <c r="D496" s="488" t="s">
        <v>2465</v>
      </c>
      <c r="E496" s="101">
        <v>43383</v>
      </c>
      <c r="F496" s="46">
        <v>445.3</v>
      </c>
    </row>
    <row r="497" spans="1:6">
      <c r="A497" s="488" t="s">
        <v>689</v>
      </c>
      <c r="B497" s="488" t="s">
        <v>690</v>
      </c>
      <c r="C497" s="757" t="s">
        <v>1919</v>
      </c>
      <c r="D497" s="488" t="s">
        <v>2465</v>
      </c>
      <c r="E497" s="101">
        <v>43383</v>
      </c>
      <c r="F497" s="46">
        <v>1536.53</v>
      </c>
    </row>
    <row r="498" spans="1:6">
      <c r="A498" s="488" t="s">
        <v>528</v>
      </c>
      <c r="B498" s="488" t="s">
        <v>529</v>
      </c>
      <c r="C498" s="757" t="s">
        <v>1920</v>
      </c>
      <c r="D498" s="488" t="s">
        <v>2471</v>
      </c>
      <c r="E498" s="101">
        <v>43383</v>
      </c>
      <c r="F498" s="46">
        <v>1150</v>
      </c>
    </row>
    <row r="499" spans="1:6">
      <c r="A499" s="488" t="s">
        <v>750</v>
      </c>
      <c r="B499" s="488" t="s">
        <v>751</v>
      </c>
      <c r="C499" s="757" t="s">
        <v>1921</v>
      </c>
      <c r="D499" s="488" t="s">
        <v>2570</v>
      </c>
      <c r="E499" s="101">
        <v>43383</v>
      </c>
      <c r="F499" s="46">
        <v>5826.96</v>
      </c>
    </row>
    <row r="500" spans="1:6">
      <c r="A500" s="488" t="s">
        <v>472</v>
      </c>
      <c r="B500" s="488" t="s">
        <v>473</v>
      </c>
      <c r="C500" s="757" t="s">
        <v>1922</v>
      </c>
      <c r="D500" s="488" t="s">
        <v>2465</v>
      </c>
      <c r="E500" s="101">
        <v>43383</v>
      </c>
      <c r="F500" s="46">
        <v>1953.56</v>
      </c>
    </row>
    <row r="501" spans="1:6">
      <c r="A501" s="488" t="s">
        <v>747</v>
      </c>
      <c r="B501" s="488" t="s">
        <v>748</v>
      </c>
      <c r="C501" s="757" t="s">
        <v>1923</v>
      </c>
      <c r="D501" s="488" t="s">
        <v>2496</v>
      </c>
      <c r="E501" s="101">
        <v>43383</v>
      </c>
      <c r="F501" s="46">
        <v>500</v>
      </c>
    </row>
    <row r="502" spans="1:6">
      <c r="A502" s="488" t="s">
        <v>442</v>
      </c>
      <c r="B502" s="488" t="s">
        <v>443</v>
      </c>
      <c r="C502" s="757" t="s">
        <v>1924</v>
      </c>
      <c r="D502" s="488" t="s">
        <v>2472</v>
      </c>
      <c r="E502" s="101">
        <v>43383</v>
      </c>
      <c r="F502" s="46">
        <v>655</v>
      </c>
    </row>
    <row r="503" spans="1:6">
      <c r="A503" s="488" t="s">
        <v>422</v>
      </c>
      <c r="B503" s="488" t="s">
        <v>423</v>
      </c>
      <c r="C503" s="757" t="s">
        <v>1928</v>
      </c>
      <c r="D503" s="488" t="s">
        <v>2468</v>
      </c>
      <c r="E503" s="101">
        <v>43383</v>
      </c>
      <c r="F503" s="46">
        <v>3500</v>
      </c>
    </row>
    <row r="504" spans="1:6">
      <c r="A504" s="488" t="s">
        <v>475</v>
      </c>
      <c r="B504" s="488" t="s">
        <v>476</v>
      </c>
      <c r="C504" s="757" t="s">
        <v>1925</v>
      </c>
      <c r="D504" s="488" t="s">
        <v>103</v>
      </c>
      <c r="E504" s="101">
        <v>43383</v>
      </c>
      <c r="F504" s="46">
        <v>2600</v>
      </c>
    </row>
    <row r="505" spans="1:6">
      <c r="A505" s="488" t="s">
        <v>431</v>
      </c>
      <c r="B505" s="488" t="s">
        <v>432</v>
      </c>
      <c r="C505" s="757" t="s">
        <v>1929</v>
      </c>
      <c r="D505" s="488" t="s">
        <v>2472</v>
      </c>
      <c r="E505" s="101">
        <v>43383</v>
      </c>
      <c r="F505" s="46">
        <v>350</v>
      </c>
    </row>
    <row r="506" spans="1:6">
      <c r="A506" s="488" t="s">
        <v>455</v>
      </c>
      <c r="B506" s="488" t="s">
        <v>456</v>
      </c>
      <c r="C506" s="757" t="s">
        <v>1926</v>
      </c>
      <c r="D506" s="488" t="s">
        <v>2467</v>
      </c>
      <c r="E506" s="101">
        <v>43383</v>
      </c>
      <c r="F506" s="46">
        <v>2200</v>
      </c>
    </row>
    <row r="507" spans="1:6">
      <c r="A507" s="488" t="s">
        <v>393</v>
      </c>
      <c r="B507" s="488" t="s">
        <v>394</v>
      </c>
      <c r="C507" s="757" t="s">
        <v>1927</v>
      </c>
      <c r="D507" s="488" t="s">
        <v>2468</v>
      </c>
      <c r="E507" s="101">
        <v>43383</v>
      </c>
      <c r="F507" s="46">
        <v>1500</v>
      </c>
    </row>
    <row r="508" spans="1:6">
      <c r="A508" s="488" t="s">
        <v>324</v>
      </c>
      <c r="B508" s="488" t="s">
        <v>325</v>
      </c>
      <c r="C508" s="757" t="s">
        <v>1934</v>
      </c>
      <c r="D508" s="488" t="s">
        <v>2469</v>
      </c>
      <c r="E508" s="101">
        <v>43384</v>
      </c>
      <c r="F508" s="46">
        <v>1664.78</v>
      </c>
    </row>
    <row r="509" spans="1:6">
      <c r="A509" s="488" t="s">
        <v>468</v>
      </c>
      <c r="B509" s="488" t="s">
        <v>469</v>
      </c>
      <c r="C509" s="757" t="s">
        <v>1935</v>
      </c>
      <c r="D509" s="488" t="s">
        <v>103</v>
      </c>
      <c r="E509" s="101">
        <v>43384</v>
      </c>
      <c r="F509" s="46">
        <v>2500</v>
      </c>
    </row>
    <row r="510" spans="1:6">
      <c r="A510" s="488" t="s">
        <v>375</v>
      </c>
      <c r="B510" s="488" t="s">
        <v>376</v>
      </c>
      <c r="C510" s="757" t="s">
        <v>1936</v>
      </c>
      <c r="D510" s="488" t="s">
        <v>2511</v>
      </c>
      <c r="E510" s="101">
        <v>43384</v>
      </c>
      <c r="F510" s="46">
        <v>500</v>
      </c>
    </row>
    <row r="511" spans="1:6">
      <c r="A511" s="488" t="s">
        <v>1937</v>
      </c>
      <c r="B511" s="488" t="s">
        <v>1701</v>
      </c>
      <c r="C511" s="757" t="s">
        <v>1938</v>
      </c>
      <c r="D511" s="488" t="s">
        <v>103</v>
      </c>
      <c r="E511" s="101">
        <v>43385</v>
      </c>
      <c r="F511" s="46">
        <v>318.20999999999998</v>
      </c>
    </row>
    <row r="512" spans="1:6">
      <c r="A512" s="488" t="s">
        <v>895</v>
      </c>
      <c r="B512" s="488" t="s">
        <v>731</v>
      </c>
      <c r="C512" s="757" t="s">
        <v>1939</v>
      </c>
      <c r="D512" s="488" t="s">
        <v>2479</v>
      </c>
      <c r="E512" s="101">
        <v>43385</v>
      </c>
      <c r="F512" s="46">
        <v>1380.47</v>
      </c>
    </row>
    <row r="513" spans="1:6">
      <c r="A513" s="488" t="s">
        <v>397</v>
      </c>
      <c r="B513" s="488" t="s">
        <v>398</v>
      </c>
      <c r="C513" s="757" t="s">
        <v>2571</v>
      </c>
      <c r="D513" s="488" t="s">
        <v>2493</v>
      </c>
      <c r="E513" s="101">
        <v>43385</v>
      </c>
      <c r="F513" s="46">
        <v>481.2</v>
      </c>
    </row>
    <row r="514" spans="1:6">
      <c r="A514" s="488" t="s">
        <v>350</v>
      </c>
      <c r="B514" s="488" t="s">
        <v>351</v>
      </c>
      <c r="C514" s="757" t="s">
        <v>1940</v>
      </c>
      <c r="D514" s="488" t="s">
        <v>2469</v>
      </c>
      <c r="E514" s="101">
        <v>43385</v>
      </c>
      <c r="F514" s="46">
        <v>987.16</v>
      </c>
    </row>
    <row r="515" spans="1:6">
      <c r="A515" s="488" t="s">
        <v>880</v>
      </c>
      <c r="B515" s="488" t="s">
        <v>881</v>
      </c>
      <c r="C515" s="757" t="s">
        <v>1941</v>
      </c>
      <c r="D515" s="488" t="s">
        <v>2465</v>
      </c>
      <c r="E515" s="101">
        <v>43385</v>
      </c>
      <c r="F515" s="46">
        <v>657.3</v>
      </c>
    </row>
    <row r="516" spans="1:6">
      <c r="A516" s="488" t="s">
        <v>472</v>
      </c>
      <c r="B516" s="488" t="s">
        <v>473</v>
      </c>
      <c r="C516" s="757" t="s">
        <v>1942</v>
      </c>
      <c r="D516" s="488" t="s">
        <v>2465</v>
      </c>
      <c r="E516" s="101">
        <v>43385</v>
      </c>
      <c r="F516" s="46">
        <v>5000</v>
      </c>
    </row>
    <row r="517" spans="1:6">
      <c r="A517" s="488" t="s">
        <v>373</v>
      </c>
      <c r="B517" s="488" t="s">
        <v>374</v>
      </c>
      <c r="C517" s="757" t="s">
        <v>1943</v>
      </c>
      <c r="D517" s="488" t="s">
        <v>2471</v>
      </c>
      <c r="E517" s="101">
        <v>43385</v>
      </c>
      <c r="F517" s="46">
        <v>1036.6300000000001</v>
      </c>
    </row>
    <row r="518" spans="1:6">
      <c r="A518" s="488" t="s">
        <v>438</v>
      </c>
      <c r="B518" s="488" t="s">
        <v>376</v>
      </c>
      <c r="C518" s="757" t="s">
        <v>1944</v>
      </c>
      <c r="D518" s="488" t="s">
        <v>2468</v>
      </c>
      <c r="E518" s="101">
        <v>43385</v>
      </c>
      <c r="F518" s="46">
        <v>977.6</v>
      </c>
    </row>
    <row r="519" spans="1:6">
      <c r="A519" s="488" t="s">
        <v>749</v>
      </c>
      <c r="B519" s="488" t="s">
        <v>330</v>
      </c>
      <c r="C519" s="757" t="s">
        <v>1945</v>
      </c>
      <c r="D519" s="488" t="s">
        <v>2472</v>
      </c>
      <c r="E519" s="101">
        <v>43385</v>
      </c>
      <c r="F519" s="46">
        <v>299.62</v>
      </c>
    </row>
    <row r="520" spans="1:6">
      <c r="A520" s="488" t="s">
        <v>453</v>
      </c>
      <c r="B520" s="488" t="s">
        <v>454</v>
      </c>
      <c r="C520" s="757" t="s">
        <v>1946</v>
      </c>
      <c r="D520" s="488" t="s">
        <v>2467</v>
      </c>
      <c r="E520" s="101">
        <v>43385</v>
      </c>
      <c r="F520" s="46">
        <v>945.82</v>
      </c>
    </row>
    <row r="521" spans="1:6">
      <c r="A521" s="488" t="s">
        <v>702</v>
      </c>
      <c r="B521" s="488" t="s">
        <v>703</v>
      </c>
      <c r="C521" s="757" t="s">
        <v>1947</v>
      </c>
      <c r="D521" s="488" t="s">
        <v>2467</v>
      </c>
      <c r="E521" s="101">
        <v>43385</v>
      </c>
      <c r="F521" s="46">
        <v>794.1</v>
      </c>
    </row>
    <row r="522" spans="1:6">
      <c r="A522" s="488" t="s">
        <v>328</v>
      </c>
      <c r="B522" s="488" t="s">
        <v>329</v>
      </c>
      <c r="C522" s="757" t="s">
        <v>1948</v>
      </c>
      <c r="D522" s="488" t="s">
        <v>2572</v>
      </c>
      <c r="E522" s="101">
        <v>43386</v>
      </c>
      <c r="F522" s="46">
        <v>2217.31</v>
      </c>
    </row>
    <row r="523" spans="1:6">
      <c r="A523" s="488" t="s">
        <v>499</v>
      </c>
      <c r="B523" s="488" t="s">
        <v>500</v>
      </c>
      <c r="C523" s="757" t="s">
        <v>1949</v>
      </c>
      <c r="D523" s="488" t="s">
        <v>2467</v>
      </c>
      <c r="E523" s="101">
        <v>43386</v>
      </c>
      <c r="F523" s="46">
        <v>700</v>
      </c>
    </row>
    <row r="524" spans="1:6">
      <c r="A524" s="488" t="s">
        <v>346</v>
      </c>
      <c r="B524" s="488" t="s">
        <v>347</v>
      </c>
      <c r="C524" s="757" t="s">
        <v>1950</v>
      </c>
      <c r="D524" s="488" t="s">
        <v>103</v>
      </c>
      <c r="E524" s="101">
        <v>43386</v>
      </c>
      <c r="F524" s="46">
        <v>3000</v>
      </c>
    </row>
    <row r="525" spans="1:6">
      <c r="A525" s="488" t="s">
        <v>512</v>
      </c>
      <c r="B525" s="488" t="s">
        <v>498</v>
      </c>
      <c r="C525" s="757" t="s">
        <v>2573</v>
      </c>
      <c r="D525" s="488" t="s">
        <v>2493</v>
      </c>
      <c r="E525" s="101">
        <v>43387</v>
      </c>
      <c r="F525" s="46">
        <v>737.33</v>
      </c>
    </row>
    <row r="526" spans="1:6">
      <c r="A526" s="488" t="s">
        <v>336</v>
      </c>
      <c r="B526" s="488" t="s">
        <v>337</v>
      </c>
      <c r="C526" s="757" t="s">
        <v>1951</v>
      </c>
      <c r="D526" s="488" t="s">
        <v>2467</v>
      </c>
      <c r="E526" s="101">
        <v>43387</v>
      </c>
      <c r="F526" s="46">
        <v>720</v>
      </c>
    </row>
    <row r="527" spans="1:6">
      <c r="A527" s="488" t="s">
        <v>338</v>
      </c>
      <c r="B527" s="488" t="s">
        <v>339</v>
      </c>
      <c r="C527" s="757" t="s">
        <v>1952</v>
      </c>
      <c r="D527" s="488" t="s">
        <v>2476</v>
      </c>
      <c r="E527" s="101">
        <v>43387</v>
      </c>
      <c r="F527" s="46">
        <v>2258</v>
      </c>
    </row>
    <row r="528" spans="1:6">
      <c r="A528" s="488" t="s">
        <v>789</v>
      </c>
      <c r="B528" s="488" t="s">
        <v>504</v>
      </c>
      <c r="C528" s="757" t="s">
        <v>2574</v>
      </c>
      <c r="D528" s="488" t="s">
        <v>103</v>
      </c>
      <c r="E528" s="101">
        <v>43387</v>
      </c>
      <c r="F528" s="46">
        <v>1140.5</v>
      </c>
    </row>
    <row r="529" spans="1:6">
      <c r="A529" s="488" t="s">
        <v>742</v>
      </c>
      <c r="B529" s="488" t="s">
        <v>415</v>
      </c>
      <c r="C529" s="757" t="s">
        <v>1953</v>
      </c>
      <c r="D529" s="488" t="s">
        <v>2465</v>
      </c>
      <c r="E529" s="101">
        <v>43387</v>
      </c>
      <c r="F529" s="46">
        <v>954.73</v>
      </c>
    </row>
    <row r="530" spans="1:6">
      <c r="A530" s="488" t="s">
        <v>397</v>
      </c>
      <c r="B530" s="488" t="s">
        <v>398</v>
      </c>
      <c r="C530" s="757" t="s">
        <v>1954</v>
      </c>
      <c r="D530" s="488" t="s">
        <v>2499</v>
      </c>
      <c r="E530" s="101">
        <v>43388</v>
      </c>
      <c r="F530" s="46">
        <v>523.25</v>
      </c>
    </row>
    <row r="531" spans="1:6">
      <c r="A531" s="488" t="s">
        <v>350</v>
      </c>
      <c r="B531" s="488" t="s">
        <v>351</v>
      </c>
      <c r="C531" s="757" t="s">
        <v>1986</v>
      </c>
      <c r="D531" s="488" t="s">
        <v>2469</v>
      </c>
      <c r="E531" s="101">
        <v>43388</v>
      </c>
      <c r="F531" s="46">
        <v>500</v>
      </c>
    </row>
    <row r="532" spans="1:6">
      <c r="A532" s="488" t="s">
        <v>401</v>
      </c>
      <c r="B532" s="488" t="s">
        <v>402</v>
      </c>
      <c r="C532" s="757" t="s">
        <v>1955</v>
      </c>
      <c r="D532" s="488" t="s">
        <v>2468</v>
      </c>
      <c r="E532" s="101">
        <v>43388</v>
      </c>
      <c r="F532" s="46">
        <v>4000</v>
      </c>
    </row>
    <row r="533" spans="1:6">
      <c r="A533" s="488" t="s">
        <v>668</v>
      </c>
      <c r="B533" s="488" t="s">
        <v>669</v>
      </c>
      <c r="C533" s="757" t="s">
        <v>1956</v>
      </c>
      <c r="D533" s="488" t="s">
        <v>2468</v>
      </c>
      <c r="E533" s="101">
        <v>43388</v>
      </c>
      <c r="F533" s="46">
        <v>700</v>
      </c>
    </row>
    <row r="534" spans="1:6">
      <c r="A534" s="488" t="s">
        <v>409</v>
      </c>
      <c r="B534" s="488" t="s">
        <v>410</v>
      </c>
      <c r="C534" s="757" t="s">
        <v>1985</v>
      </c>
      <c r="D534" s="488" t="s">
        <v>2468</v>
      </c>
      <c r="E534" s="101">
        <v>43388</v>
      </c>
      <c r="F534" s="46">
        <v>890</v>
      </c>
    </row>
    <row r="535" spans="1:6">
      <c r="A535" s="488" t="s">
        <v>352</v>
      </c>
      <c r="B535" s="488" t="s">
        <v>353</v>
      </c>
      <c r="C535" s="757" t="s">
        <v>1957</v>
      </c>
      <c r="D535" s="488" t="s">
        <v>2476</v>
      </c>
      <c r="E535" s="101">
        <v>43388</v>
      </c>
      <c r="F535" s="46">
        <v>514.98</v>
      </c>
    </row>
    <row r="536" spans="1:6">
      <c r="A536" s="488" t="s">
        <v>354</v>
      </c>
      <c r="B536" s="488" t="s">
        <v>355</v>
      </c>
      <c r="C536" s="757" t="s">
        <v>1958</v>
      </c>
      <c r="D536" s="488" t="s">
        <v>2470</v>
      </c>
      <c r="E536" s="101">
        <v>43388</v>
      </c>
      <c r="F536" s="46">
        <v>1200</v>
      </c>
    </row>
    <row r="537" spans="1:6">
      <c r="A537" s="488" t="s">
        <v>896</v>
      </c>
      <c r="B537" s="488" t="s">
        <v>357</v>
      </c>
      <c r="C537" s="757" t="s">
        <v>1959</v>
      </c>
      <c r="D537" s="488" t="s">
        <v>2467</v>
      </c>
      <c r="E537" s="101">
        <v>43388</v>
      </c>
      <c r="F537" s="46">
        <v>2095.2199999999998</v>
      </c>
    </row>
    <row r="538" spans="1:6">
      <c r="A538" s="488" t="s">
        <v>358</v>
      </c>
      <c r="B538" s="488" t="s">
        <v>359</v>
      </c>
      <c r="C538" s="757" t="s">
        <v>1984</v>
      </c>
      <c r="D538" s="488" t="s">
        <v>103</v>
      </c>
      <c r="E538" s="101">
        <v>43388</v>
      </c>
      <c r="F538" s="46">
        <v>498.11</v>
      </c>
    </row>
    <row r="539" spans="1:6">
      <c r="A539" s="488" t="s">
        <v>1982</v>
      </c>
      <c r="B539" s="488" t="s">
        <v>361</v>
      </c>
      <c r="C539" s="757" t="s">
        <v>1983</v>
      </c>
      <c r="D539" s="488" t="s">
        <v>2486</v>
      </c>
      <c r="E539" s="101">
        <v>43388</v>
      </c>
      <c r="F539" s="46">
        <v>969.42</v>
      </c>
    </row>
    <row r="540" spans="1:6">
      <c r="A540" s="488" t="s">
        <v>897</v>
      </c>
      <c r="B540" s="488" t="s">
        <v>898</v>
      </c>
      <c r="C540" s="757" t="s">
        <v>1960</v>
      </c>
      <c r="D540" s="488" t="s">
        <v>2500</v>
      </c>
      <c r="E540" s="101">
        <v>43388</v>
      </c>
      <c r="F540" s="46">
        <v>4089.01</v>
      </c>
    </row>
    <row r="541" spans="1:6">
      <c r="A541" s="488" t="s">
        <v>620</v>
      </c>
      <c r="B541" s="488" t="s">
        <v>621</v>
      </c>
      <c r="C541" s="757" t="s">
        <v>2575</v>
      </c>
      <c r="D541" s="488" t="s">
        <v>2497</v>
      </c>
      <c r="E541" s="101">
        <v>43388</v>
      </c>
      <c r="F541" s="46">
        <v>4507.34</v>
      </c>
    </row>
    <row r="542" spans="1:6">
      <c r="A542" s="488" t="s">
        <v>899</v>
      </c>
      <c r="B542" s="488" t="s">
        <v>900</v>
      </c>
      <c r="C542" s="757" t="s">
        <v>1961</v>
      </c>
      <c r="D542" s="488" t="s">
        <v>2465</v>
      </c>
      <c r="E542" s="101">
        <v>43388</v>
      </c>
      <c r="F542" s="46">
        <v>678.1</v>
      </c>
    </row>
    <row r="543" spans="1:6">
      <c r="A543" s="488" t="s">
        <v>435</v>
      </c>
      <c r="B543" s="488" t="s">
        <v>436</v>
      </c>
      <c r="C543" s="757" t="s">
        <v>1963</v>
      </c>
      <c r="D543" s="488" t="s">
        <v>2465</v>
      </c>
      <c r="E543" s="101">
        <v>43388</v>
      </c>
      <c r="F543" s="46">
        <v>1699.94</v>
      </c>
    </row>
    <row r="544" spans="1:6">
      <c r="A544" s="488" t="s">
        <v>435</v>
      </c>
      <c r="B544" s="488" t="s">
        <v>436</v>
      </c>
      <c r="C544" s="757" t="s">
        <v>1962</v>
      </c>
      <c r="D544" s="488" t="s">
        <v>2465</v>
      </c>
      <c r="E544" s="101">
        <v>43388</v>
      </c>
      <c r="F544" s="46">
        <v>1456.11</v>
      </c>
    </row>
    <row r="545" spans="1:6">
      <c r="A545" s="488" t="s">
        <v>753</v>
      </c>
      <c r="B545" s="488" t="s">
        <v>370</v>
      </c>
      <c r="C545" s="757" t="s">
        <v>1964</v>
      </c>
      <c r="D545" s="488" t="s">
        <v>2541</v>
      </c>
      <c r="E545" s="101">
        <v>43388</v>
      </c>
      <c r="F545" s="46">
        <v>2809.76</v>
      </c>
    </row>
    <row r="546" spans="1:6">
      <c r="A546" s="488" t="s">
        <v>371</v>
      </c>
      <c r="B546" s="488" t="s">
        <v>372</v>
      </c>
      <c r="C546" s="757" t="s">
        <v>1965</v>
      </c>
      <c r="D546" s="488" t="s">
        <v>2470</v>
      </c>
      <c r="E546" s="101">
        <v>43388</v>
      </c>
      <c r="F546" s="46">
        <v>6902.21</v>
      </c>
    </row>
    <row r="547" spans="1:6">
      <c r="A547" s="488" t="s">
        <v>833</v>
      </c>
      <c r="B547" s="488" t="s">
        <v>545</v>
      </c>
      <c r="C547" s="757" t="s">
        <v>1966</v>
      </c>
      <c r="D547" s="488" t="s">
        <v>2463</v>
      </c>
      <c r="E547" s="101">
        <v>43388</v>
      </c>
      <c r="F547" s="46">
        <v>3815.51</v>
      </c>
    </row>
    <row r="548" spans="1:6">
      <c r="A548" s="488" t="s">
        <v>2576</v>
      </c>
      <c r="B548" s="488" t="s">
        <v>635</v>
      </c>
      <c r="C548" s="757" t="s">
        <v>2577</v>
      </c>
      <c r="D548" s="488" t="s">
        <v>2464</v>
      </c>
      <c r="E548" s="101">
        <v>43388</v>
      </c>
      <c r="F548" s="46">
        <v>800</v>
      </c>
    </row>
    <row r="549" spans="1:6">
      <c r="A549" s="488" t="s">
        <v>375</v>
      </c>
      <c r="B549" s="488" t="s">
        <v>376</v>
      </c>
      <c r="C549" s="757" t="s">
        <v>2578</v>
      </c>
      <c r="D549" s="488" t="s">
        <v>2511</v>
      </c>
      <c r="E549" s="101">
        <v>43388</v>
      </c>
      <c r="F549" s="46">
        <v>1000</v>
      </c>
    </row>
    <row r="550" spans="1:6">
      <c r="A550" s="488" t="s">
        <v>846</v>
      </c>
      <c r="B550" s="488" t="s">
        <v>439</v>
      </c>
      <c r="C550" s="757" t="s">
        <v>1967</v>
      </c>
      <c r="D550" s="488" t="s">
        <v>2525</v>
      </c>
      <c r="E550" s="101">
        <v>43388</v>
      </c>
      <c r="F550" s="46">
        <v>2750.96</v>
      </c>
    </row>
    <row r="551" spans="1:6">
      <c r="A551" s="488" t="s">
        <v>379</v>
      </c>
      <c r="B551" s="488" t="s">
        <v>380</v>
      </c>
      <c r="C551" s="757" t="s">
        <v>1968</v>
      </c>
      <c r="D551" s="488" t="s">
        <v>2472</v>
      </c>
      <c r="E551" s="101">
        <v>43388</v>
      </c>
      <c r="F551" s="46">
        <v>999.7</v>
      </c>
    </row>
    <row r="552" spans="1:6">
      <c r="A552" s="488" t="s">
        <v>442</v>
      </c>
      <c r="B552" s="488" t="s">
        <v>443</v>
      </c>
      <c r="C552" s="757" t="s">
        <v>1969</v>
      </c>
      <c r="D552" s="488" t="s">
        <v>2472</v>
      </c>
      <c r="E552" s="101">
        <v>43388</v>
      </c>
      <c r="F552" s="46">
        <v>655</v>
      </c>
    </row>
    <row r="553" spans="1:6">
      <c r="A553" s="488" t="s">
        <v>385</v>
      </c>
      <c r="B553" s="488" t="s">
        <v>386</v>
      </c>
      <c r="C553" s="757" t="s">
        <v>1507</v>
      </c>
      <c r="D553" s="488" t="s">
        <v>2467</v>
      </c>
      <c r="E553" s="101">
        <v>43388</v>
      </c>
      <c r="F553" s="46">
        <v>1741.01</v>
      </c>
    </row>
    <row r="554" spans="1:6">
      <c r="A554" s="488" t="s">
        <v>559</v>
      </c>
      <c r="B554" s="488" t="s">
        <v>560</v>
      </c>
      <c r="C554" s="757" t="s">
        <v>1970</v>
      </c>
      <c r="D554" s="488" t="s">
        <v>103</v>
      </c>
      <c r="E554" s="101">
        <v>43388</v>
      </c>
      <c r="F554" s="46">
        <v>678.7</v>
      </c>
    </row>
    <row r="555" spans="1:6">
      <c r="A555" s="488" t="s">
        <v>901</v>
      </c>
      <c r="B555" s="488" t="s">
        <v>445</v>
      </c>
      <c r="C555" s="757" t="s">
        <v>1971</v>
      </c>
      <c r="D555" s="488" t="s">
        <v>2467</v>
      </c>
      <c r="E555" s="101">
        <v>43388</v>
      </c>
      <c r="F555" s="46">
        <v>2400</v>
      </c>
    </row>
    <row r="556" spans="1:6">
      <c r="A556" s="488" t="s">
        <v>760</v>
      </c>
      <c r="B556" s="488" t="s">
        <v>761</v>
      </c>
      <c r="C556" s="757" t="s">
        <v>1972</v>
      </c>
      <c r="D556" s="488" t="s">
        <v>2468</v>
      </c>
      <c r="E556" s="101">
        <v>43388</v>
      </c>
      <c r="F556" s="46">
        <v>1435.95</v>
      </c>
    </row>
    <row r="557" spans="1:6">
      <c r="A557" s="488" t="s">
        <v>391</v>
      </c>
      <c r="B557" s="488" t="s">
        <v>392</v>
      </c>
      <c r="C557" s="757" t="s">
        <v>1973</v>
      </c>
      <c r="D557" s="488" t="s">
        <v>2472</v>
      </c>
      <c r="E557" s="101">
        <v>43388</v>
      </c>
      <c r="F557" s="46">
        <v>1086.23</v>
      </c>
    </row>
    <row r="558" spans="1:6">
      <c r="A558" s="488" t="s">
        <v>431</v>
      </c>
      <c r="B558" s="488" t="s">
        <v>432</v>
      </c>
      <c r="C558" s="757" t="s">
        <v>1974</v>
      </c>
      <c r="D558" s="488" t="s">
        <v>2472</v>
      </c>
      <c r="E558" s="101">
        <v>43388</v>
      </c>
      <c r="F558" s="46">
        <v>402</v>
      </c>
    </row>
    <row r="559" spans="1:6">
      <c r="A559" s="488" t="s">
        <v>902</v>
      </c>
      <c r="B559" s="488" t="s">
        <v>903</v>
      </c>
      <c r="C559" s="757" t="s">
        <v>1975</v>
      </c>
      <c r="D559" s="488" t="s">
        <v>2468</v>
      </c>
      <c r="E559" s="101">
        <v>43388</v>
      </c>
      <c r="F559" s="46">
        <v>7011.69</v>
      </c>
    </row>
    <row r="560" spans="1:6">
      <c r="A560" s="488" t="s">
        <v>726</v>
      </c>
      <c r="B560" s="488" t="s">
        <v>727</v>
      </c>
      <c r="C560" s="757" t="s">
        <v>1976</v>
      </c>
      <c r="D560" s="488" t="s">
        <v>2466</v>
      </c>
      <c r="E560" s="101">
        <v>43388</v>
      </c>
      <c r="F560" s="46">
        <v>1900</v>
      </c>
    </row>
    <row r="561" spans="1:6">
      <c r="A561" s="488" t="s">
        <v>863</v>
      </c>
      <c r="B561" s="488" t="s">
        <v>864</v>
      </c>
      <c r="C561" s="757" t="s">
        <v>1977</v>
      </c>
      <c r="D561" s="488" t="s">
        <v>2466</v>
      </c>
      <c r="E561" s="101">
        <v>43388</v>
      </c>
      <c r="F561" s="46">
        <v>1837.2</v>
      </c>
    </row>
    <row r="562" spans="1:6">
      <c r="A562" s="488" t="s">
        <v>728</v>
      </c>
      <c r="B562" s="488" t="s">
        <v>729</v>
      </c>
      <c r="C562" s="757" t="s">
        <v>1978</v>
      </c>
      <c r="D562" s="488" t="s">
        <v>2478</v>
      </c>
      <c r="E562" s="101">
        <v>43388</v>
      </c>
      <c r="F562" s="46">
        <v>1720.46</v>
      </c>
    </row>
    <row r="563" spans="1:6">
      <c r="A563" s="488" t="s">
        <v>764</v>
      </c>
      <c r="B563" s="488" t="s">
        <v>765</v>
      </c>
      <c r="C563" s="757" t="s">
        <v>1979</v>
      </c>
      <c r="D563" s="488" t="s">
        <v>2468</v>
      </c>
      <c r="E563" s="101">
        <v>43388</v>
      </c>
      <c r="F563" s="46">
        <v>677.21</v>
      </c>
    </row>
    <row r="564" spans="1:6">
      <c r="A564" s="488" t="s">
        <v>393</v>
      </c>
      <c r="B564" s="488" t="s">
        <v>394</v>
      </c>
      <c r="C564" s="757" t="s">
        <v>1980</v>
      </c>
      <c r="D564" s="488" t="s">
        <v>2468</v>
      </c>
      <c r="E564" s="101">
        <v>43388</v>
      </c>
      <c r="F564" s="46">
        <v>1500</v>
      </c>
    </row>
    <row r="565" spans="1:6">
      <c r="A565" s="488" t="s">
        <v>457</v>
      </c>
      <c r="B565" s="488" t="s">
        <v>458</v>
      </c>
      <c r="C565" s="757" t="s">
        <v>1981</v>
      </c>
      <c r="D565" s="488" t="s">
        <v>2472</v>
      </c>
      <c r="E565" s="101">
        <v>43388</v>
      </c>
      <c r="F565" s="46">
        <v>2380</v>
      </c>
    </row>
    <row r="566" spans="1:6">
      <c r="A566" s="488" t="s">
        <v>416</v>
      </c>
      <c r="B566" s="488" t="s">
        <v>417</v>
      </c>
      <c r="C566" s="757" t="s">
        <v>1987</v>
      </c>
      <c r="D566" s="488" t="s">
        <v>2468</v>
      </c>
      <c r="E566" s="101">
        <v>43389</v>
      </c>
      <c r="F566" s="46">
        <v>1172.22</v>
      </c>
    </row>
    <row r="567" spans="1:6">
      <c r="A567" s="488" t="s">
        <v>340</v>
      </c>
      <c r="B567" s="488" t="s">
        <v>341</v>
      </c>
      <c r="C567" s="757" t="s">
        <v>1988</v>
      </c>
      <c r="D567" s="488" t="s">
        <v>2468</v>
      </c>
      <c r="E567" s="101">
        <v>43389</v>
      </c>
      <c r="F567" s="46">
        <v>666.66</v>
      </c>
    </row>
    <row r="568" spans="1:6">
      <c r="A568" s="488" t="s">
        <v>350</v>
      </c>
      <c r="B568" s="488" t="s">
        <v>351</v>
      </c>
      <c r="C568" s="757" t="s">
        <v>1989</v>
      </c>
      <c r="D568" s="488" t="s">
        <v>2469</v>
      </c>
      <c r="E568" s="101">
        <v>43390</v>
      </c>
      <c r="F568" s="46">
        <v>987.16</v>
      </c>
    </row>
    <row r="569" spans="1:6">
      <c r="A569" s="488" t="s">
        <v>738</v>
      </c>
      <c r="B569" s="488" t="s">
        <v>739</v>
      </c>
      <c r="C569" s="757" t="s">
        <v>1990</v>
      </c>
      <c r="D569" s="488" t="s">
        <v>103</v>
      </c>
      <c r="E569" s="101">
        <v>43390</v>
      </c>
      <c r="F569" s="46">
        <v>3584.73</v>
      </c>
    </row>
    <row r="570" spans="1:6">
      <c r="A570" s="488" t="s">
        <v>513</v>
      </c>
      <c r="B570" s="488" t="s">
        <v>514</v>
      </c>
      <c r="C570" s="757" t="s">
        <v>2579</v>
      </c>
      <c r="D570" s="488" t="s">
        <v>2487</v>
      </c>
      <c r="E570" s="101">
        <v>43390</v>
      </c>
      <c r="F570" s="46">
        <v>1056.29</v>
      </c>
    </row>
    <row r="571" spans="1:6">
      <c r="A571" s="488" t="s">
        <v>479</v>
      </c>
      <c r="B571" s="488" t="s">
        <v>480</v>
      </c>
      <c r="C571" s="757" t="s">
        <v>1991</v>
      </c>
      <c r="D571" s="488" t="s">
        <v>2471</v>
      </c>
      <c r="E571" s="101">
        <v>43390</v>
      </c>
      <c r="F571" s="46">
        <v>831</v>
      </c>
    </row>
    <row r="572" spans="1:6">
      <c r="A572" s="488" t="s">
        <v>648</v>
      </c>
      <c r="B572" s="488" t="s">
        <v>649</v>
      </c>
      <c r="C572" s="757" t="s">
        <v>1992</v>
      </c>
      <c r="D572" s="488" t="s">
        <v>2466</v>
      </c>
      <c r="E572" s="101">
        <v>43390</v>
      </c>
      <c r="F572" s="46">
        <v>957.39</v>
      </c>
    </row>
    <row r="573" spans="1:6">
      <c r="A573" s="488" t="s">
        <v>475</v>
      </c>
      <c r="B573" s="488" t="s">
        <v>476</v>
      </c>
      <c r="C573" s="757" t="s">
        <v>1993</v>
      </c>
      <c r="D573" s="488" t="s">
        <v>103</v>
      </c>
      <c r="E573" s="101">
        <v>43390</v>
      </c>
      <c r="F573" s="46">
        <v>2600</v>
      </c>
    </row>
    <row r="574" spans="1:6">
      <c r="A574" s="488" t="s">
        <v>326</v>
      </c>
      <c r="B574" s="488" t="s">
        <v>327</v>
      </c>
      <c r="C574" s="757" t="s">
        <v>1994</v>
      </c>
      <c r="D574" s="488" t="s">
        <v>2468</v>
      </c>
      <c r="E574" s="101">
        <v>43391</v>
      </c>
      <c r="F574" s="46">
        <v>2000</v>
      </c>
    </row>
    <row r="575" spans="1:6">
      <c r="A575" s="488" t="s">
        <v>468</v>
      </c>
      <c r="B575" s="488" t="s">
        <v>469</v>
      </c>
      <c r="C575" s="757" t="s">
        <v>1995</v>
      </c>
      <c r="D575" s="488" t="s">
        <v>103</v>
      </c>
      <c r="E575" s="101">
        <v>43391</v>
      </c>
      <c r="F575" s="46">
        <v>2500</v>
      </c>
    </row>
    <row r="576" spans="1:6">
      <c r="A576" s="488" t="s">
        <v>2580</v>
      </c>
      <c r="B576" s="488" t="s">
        <v>2581</v>
      </c>
      <c r="C576" s="757" t="s">
        <v>2582</v>
      </c>
      <c r="D576" s="488" t="s">
        <v>2496</v>
      </c>
      <c r="E576" s="101">
        <v>43391</v>
      </c>
      <c r="F576" s="46">
        <v>658.55</v>
      </c>
    </row>
    <row r="577" spans="1:6">
      <c r="A577" s="488" t="s">
        <v>320</v>
      </c>
      <c r="B577" s="488" t="s">
        <v>321</v>
      </c>
      <c r="C577" s="757" t="s">
        <v>1996</v>
      </c>
      <c r="D577" s="488" t="s">
        <v>2471</v>
      </c>
      <c r="E577" s="101">
        <v>43391</v>
      </c>
      <c r="F577" s="46">
        <v>1800</v>
      </c>
    </row>
    <row r="578" spans="1:6">
      <c r="A578" s="488" t="s">
        <v>2002</v>
      </c>
      <c r="B578" s="488" t="s">
        <v>2583</v>
      </c>
      <c r="C578" s="757" t="s">
        <v>2003</v>
      </c>
      <c r="D578" s="488" t="s">
        <v>2493</v>
      </c>
      <c r="E578" s="101">
        <v>43392</v>
      </c>
      <c r="F578" s="46">
        <v>1684.8</v>
      </c>
    </row>
    <row r="579" spans="1:6">
      <c r="A579" s="488" t="s">
        <v>894</v>
      </c>
      <c r="B579" s="488" t="s">
        <v>349</v>
      </c>
      <c r="C579" s="757" t="s">
        <v>1997</v>
      </c>
      <c r="D579" s="488" t="s">
        <v>2511</v>
      </c>
      <c r="E579" s="101">
        <v>43392</v>
      </c>
      <c r="F579" s="46">
        <v>771.69</v>
      </c>
    </row>
    <row r="580" spans="1:6">
      <c r="A580" s="488" t="s">
        <v>350</v>
      </c>
      <c r="B580" s="488" t="s">
        <v>351</v>
      </c>
      <c r="C580" s="757" t="s">
        <v>2004</v>
      </c>
      <c r="D580" s="488" t="s">
        <v>2469</v>
      </c>
      <c r="E580" s="101">
        <v>43392</v>
      </c>
      <c r="F580" s="46">
        <v>500</v>
      </c>
    </row>
    <row r="581" spans="1:6">
      <c r="A581" s="488" t="s">
        <v>904</v>
      </c>
      <c r="B581" s="488" t="s">
        <v>339</v>
      </c>
      <c r="C581" s="757" t="s">
        <v>1998</v>
      </c>
      <c r="D581" s="488" t="s">
        <v>2476</v>
      </c>
      <c r="E581" s="101">
        <v>43392</v>
      </c>
      <c r="F581" s="46">
        <v>2269.0100000000002</v>
      </c>
    </row>
    <row r="582" spans="1:6">
      <c r="A582" s="488" t="s">
        <v>479</v>
      </c>
      <c r="B582" s="488" t="s">
        <v>480</v>
      </c>
      <c r="C582" s="757" t="s">
        <v>1999</v>
      </c>
      <c r="D582" s="488" t="s">
        <v>2471</v>
      </c>
      <c r="E582" s="101">
        <v>43392</v>
      </c>
      <c r="F582" s="46">
        <v>831</v>
      </c>
    </row>
    <row r="583" spans="1:6">
      <c r="A583" s="488" t="s">
        <v>418</v>
      </c>
      <c r="B583" s="488" t="s">
        <v>419</v>
      </c>
      <c r="C583" s="757" t="s">
        <v>2000</v>
      </c>
      <c r="D583" s="488" t="s">
        <v>2466</v>
      </c>
      <c r="E583" s="101">
        <v>43392</v>
      </c>
      <c r="F583" s="46">
        <v>1100</v>
      </c>
    </row>
    <row r="584" spans="1:6">
      <c r="A584" s="488" t="s">
        <v>387</v>
      </c>
      <c r="B584" s="488" t="s">
        <v>388</v>
      </c>
      <c r="C584" s="757" t="s">
        <v>2001</v>
      </c>
      <c r="D584" s="488" t="s">
        <v>2468</v>
      </c>
      <c r="E584" s="101">
        <v>43392</v>
      </c>
      <c r="F584" s="46">
        <v>1798</v>
      </c>
    </row>
    <row r="585" spans="1:6">
      <c r="A585" s="488" t="s">
        <v>401</v>
      </c>
      <c r="B585" s="488" t="s">
        <v>402</v>
      </c>
      <c r="C585" s="757" t="s">
        <v>2005</v>
      </c>
      <c r="D585" s="488" t="s">
        <v>2468</v>
      </c>
      <c r="E585" s="101">
        <v>43393</v>
      </c>
      <c r="F585" s="46">
        <v>4000</v>
      </c>
    </row>
    <row r="586" spans="1:6">
      <c r="A586" s="488" t="s">
        <v>567</v>
      </c>
      <c r="B586" s="488" t="s">
        <v>568</v>
      </c>
      <c r="C586" s="757" t="s">
        <v>2006</v>
      </c>
      <c r="D586" s="488" t="s">
        <v>2479</v>
      </c>
      <c r="E586" s="101">
        <v>43393</v>
      </c>
      <c r="F586" s="46">
        <v>4352.87</v>
      </c>
    </row>
    <row r="587" spans="1:6">
      <c r="A587" s="488" t="s">
        <v>322</v>
      </c>
      <c r="B587" s="488" t="s">
        <v>323</v>
      </c>
      <c r="C587" s="757" t="s">
        <v>2584</v>
      </c>
      <c r="D587" s="488" t="s">
        <v>2472</v>
      </c>
      <c r="E587" s="101">
        <v>43393</v>
      </c>
      <c r="F587" s="46">
        <v>2000</v>
      </c>
    </row>
    <row r="588" spans="1:6">
      <c r="A588" s="488" t="s">
        <v>405</v>
      </c>
      <c r="B588" s="488" t="s">
        <v>406</v>
      </c>
      <c r="C588" s="757" t="s">
        <v>2585</v>
      </c>
      <c r="D588" s="488" t="s">
        <v>2468</v>
      </c>
      <c r="E588" s="101">
        <v>43393</v>
      </c>
      <c r="F588" s="46">
        <v>5000</v>
      </c>
    </row>
    <row r="589" spans="1:6">
      <c r="A589" s="488" t="s">
        <v>407</v>
      </c>
      <c r="B589" s="488" t="s">
        <v>408</v>
      </c>
      <c r="C589" s="757" t="s">
        <v>2021</v>
      </c>
      <c r="D589" s="488" t="s">
        <v>2472</v>
      </c>
      <c r="E589" s="101">
        <v>43393</v>
      </c>
      <c r="F589" s="46">
        <v>2618</v>
      </c>
    </row>
    <row r="590" spans="1:6">
      <c r="A590" s="488" t="s">
        <v>409</v>
      </c>
      <c r="B590" s="488" t="s">
        <v>410</v>
      </c>
      <c r="C590" s="757" t="s">
        <v>2022</v>
      </c>
      <c r="D590" s="488" t="s">
        <v>2468</v>
      </c>
      <c r="E590" s="101">
        <v>43393</v>
      </c>
      <c r="F590" s="46">
        <v>910</v>
      </c>
    </row>
    <row r="591" spans="1:6">
      <c r="A591" s="488" t="s">
        <v>332</v>
      </c>
      <c r="B591" s="488" t="s">
        <v>333</v>
      </c>
      <c r="C591" s="757" t="s">
        <v>2007</v>
      </c>
      <c r="D591" s="488" t="s">
        <v>2466</v>
      </c>
      <c r="E591" s="101">
        <v>43393</v>
      </c>
      <c r="F591" s="46">
        <v>4000</v>
      </c>
    </row>
    <row r="592" spans="1:6">
      <c r="A592" s="488" t="s">
        <v>791</v>
      </c>
      <c r="B592" s="488" t="s">
        <v>792</v>
      </c>
      <c r="C592" s="757" t="s">
        <v>2586</v>
      </c>
      <c r="D592" s="488" t="s">
        <v>2487</v>
      </c>
      <c r="E592" s="101">
        <v>43393</v>
      </c>
      <c r="F592" s="46">
        <v>887.97</v>
      </c>
    </row>
    <row r="593" spans="1:6">
      <c r="A593" s="488" t="s">
        <v>411</v>
      </c>
      <c r="B593" s="488" t="s">
        <v>412</v>
      </c>
      <c r="C593" s="757" t="s">
        <v>2008</v>
      </c>
      <c r="D593" s="488" t="s">
        <v>2465</v>
      </c>
      <c r="E593" s="101">
        <v>43393</v>
      </c>
      <c r="F593" s="46">
        <v>415.63</v>
      </c>
    </row>
    <row r="594" spans="1:6">
      <c r="A594" s="488" t="s">
        <v>905</v>
      </c>
      <c r="B594" s="488" t="s">
        <v>774</v>
      </c>
      <c r="C594" s="757" t="s">
        <v>2009</v>
      </c>
      <c r="D594" s="488" t="s">
        <v>2525</v>
      </c>
      <c r="E594" s="101">
        <v>43393</v>
      </c>
      <c r="F594" s="46">
        <v>721.46</v>
      </c>
    </row>
    <row r="595" spans="1:6">
      <c r="A595" s="488" t="s">
        <v>744</v>
      </c>
      <c r="B595" s="488" t="s">
        <v>745</v>
      </c>
      <c r="C595" s="757" t="s">
        <v>2020</v>
      </c>
      <c r="D595" s="488" t="s">
        <v>2496</v>
      </c>
      <c r="E595" s="101">
        <v>43393</v>
      </c>
      <c r="F595" s="46">
        <v>119.3</v>
      </c>
    </row>
    <row r="596" spans="1:6">
      <c r="A596" s="488" t="s">
        <v>752</v>
      </c>
      <c r="B596" s="488" t="s">
        <v>367</v>
      </c>
      <c r="C596" s="757" t="s">
        <v>2010</v>
      </c>
      <c r="D596" s="488" t="s">
        <v>2471</v>
      </c>
      <c r="E596" s="101">
        <v>43393</v>
      </c>
      <c r="F596" s="46">
        <v>2609.8000000000002</v>
      </c>
    </row>
    <row r="597" spans="1:6">
      <c r="A597" s="488" t="s">
        <v>507</v>
      </c>
      <c r="B597" s="488" t="s">
        <v>508</v>
      </c>
      <c r="C597" s="757" t="s">
        <v>2011</v>
      </c>
      <c r="D597" s="488" t="s">
        <v>2541</v>
      </c>
      <c r="E597" s="101">
        <v>43393</v>
      </c>
      <c r="F597" s="46">
        <v>565.02</v>
      </c>
    </row>
    <row r="598" spans="1:6">
      <c r="A598" s="488" t="s">
        <v>373</v>
      </c>
      <c r="B598" s="488" t="s">
        <v>374</v>
      </c>
      <c r="C598" s="757" t="s">
        <v>2012</v>
      </c>
      <c r="D598" s="488" t="s">
        <v>2471</v>
      </c>
      <c r="E598" s="101">
        <v>43393</v>
      </c>
      <c r="F598" s="46">
        <v>1200</v>
      </c>
    </row>
    <row r="599" spans="1:6">
      <c r="A599" s="488" t="s">
        <v>775</v>
      </c>
      <c r="B599" s="488" t="s">
        <v>437</v>
      </c>
      <c r="C599" s="757" t="s">
        <v>2013</v>
      </c>
      <c r="D599" s="488" t="s">
        <v>2535</v>
      </c>
      <c r="E599" s="101">
        <v>43393</v>
      </c>
      <c r="F599" s="46">
        <v>995.54</v>
      </c>
    </row>
    <row r="600" spans="1:6">
      <c r="A600" s="488" t="s">
        <v>2018</v>
      </c>
      <c r="B600" s="488" t="s">
        <v>2587</v>
      </c>
      <c r="C600" s="757" t="s">
        <v>2019</v>
      </c>
      <c r="D600" s="488" t="s">
        <v>2467</v>
      </c>
      <c r="E600" s="101">
        <v>43393</v>
      </c>
      <c r="F600" s="46">
        <v>516.11</v>
      </c>
    </row>
    <row r="601" spans="1:6">
      <c r="A601" s="488" t="s">
        <v>375</v>
      </c>
      <c r="B601" s="488" t="s">
        <v>376</v>
      </c>
      <c r="C601" s="757" t="s">
        <v>2588</v>
      </c>
      <c r="D601" s="488" t="s">
        <v>2511</v>
      </c>
      <c r="E601" s="101">
        <v>43393</v>
      </c>
      <c r="F601" s="46">
        <v>500</v>
      </c>
    </row>
    <row r="602" spans="1:6">
      <c r="A602" s="488" t="s">
        <v>375</v>
      </c>
      <c r="B602" s="488" t="s">
        <v>376</v>
      </c>
      <c r="C602" s="757" t="s">
        <v>2589</v>
      </c>
      <c r="D602" s="488" t="s">
        <v>2496</v>
      </c>
      <c r="E602" s="101">
        <v>43393</v>
      </c>
      <c r="F602" s="46">
        <v>400</v>
      </c>
    </row>
    <row r="603" spans="1:6">
      <c r="A603" s="488" t="s">
        <v>906</v>
      </c>
      <c r="B603" s="488" t="s">
        <v>845</v>
      </c>
      <c r="C603" s="757" t="s">
        <v>2014</v>
      </c>
      <c r="D603" s="488" t="s">
        <v>2511</v>
      </c>
      <c r="E603" s="101">
        <v>43393</v>
      </c>
      <c r="F603" s="46">
        <v>1800</v>
      </c>
    </row>
    <row r="604" spans="1:6">
      <c r="A604" s="488" t="s">
        <v>334</v>
      </c>
      <c r="B604" s="488" t="s">
        <v>335</v>
      </c>
      <c r="C604" s="757" t="s">
        <v>1732</v>
      </c>
      <c r="D604" s="488" t="s">
        <v>2467</v>
      </c>
      <c r="E604" s="101">
        <v>43393</v>
      </c>
      <c r="F604" s="46">
        <v>1942</v>
      </c>
    </row>
    <row r="605" spans="1:6">
      <c r="A605" s="488" t="s">
        <v>442</v>
      </c>
      <c r="B605" s="488" t="s">
        <v>443</v>
      </c>
      <c r="C605" s="757" t="s">
        <v>2015</v>
      </c>
      <c r="D605" s="488" t="s">
        <v>2472</v>
      </c>
      <c r="E605" s="101">
        <v>43393</v>
      </c>
      <c r="F605" s="46">
        <v>660.6</v>
      </c>
    </row>
    <row r="606" spans="1:6">
      <c r="A606" s="488" t="s">
        <v>422</v>
      </c>
      <c r="B606" s="488" t="s">
        <v>423</v>
      </c>
      <c r="C606" s="757" t="s">
        <v>1928</v>
      </c>
      <c r="D606" s="488" t="s">
        <v>2468</v>
      </c>
      <c r="E606" s="101">
        <v>43393</v>
      </c>
      <c r="F606" s="46">
        <v>3500</v>
      </c>
    </row>
    <row r="607" spans="1:6">
      <c r="A607" s="488" t="s">
        <v>865</v>
      </c>
      <c r="B607" s="488" t="s">
        <v>866</v>
      </c>
      <c r="C607" s="757" t="s">
        <v>2590</v>
      </c>
      <c r="D607" s="488" t="s">
        <v>2467</v>
      </c>
      <c r="E607" s="101">
        <v>43393</v>
      </c>
      <c r="F607" s="46">
        <v>2385.67</v>
      </c>
    </row>
    <row r="608" spans="1:6">
      <c r="A608" s="488" t="s">
        <v>455</v>
      </c>
      <c r="B608" s="488" t="s">
        <v>456</v>
      </c>
      <c r="C608" s="757" t="s">
        <v>2016</v>
      </c>
      <c r="D608" s="488" t="s">
        <v>2467</v>
      </c>
      <c r="E608" s="101">
        <v>43393</v>
      </c>
      <c r="F608" s="46">
        <v>1500</v>
      </c>
    </row>
    <row r="609" spans="1:6">
      <c r="A609" s="488" t="s">
        <v>393</v>
      </c>
      <c r="B609" s="488" t="s">
        <v>394</v>
      </c>
      <c r="C609" s="757" t="s">
        <v>2017</v>
      </c>
      <c r="D609" s="488" t="s">
        <v>2468</v>
      </c>
      <c r="E609" s="101">
        <v>43393</v>
      </c>
      <c r="F609" s="46">
        <v>1500</v>
      </c>
    </row>
    <row r="610" spans="1:6">
      <c r="A610" s="488" t="s">
        <v>336</v>
      </c>
      <c r="B610" s="488" t="s">
        <v>337</v>
      </c>
      <c r="C610" s="757" t="s">
        <v>2023</v>
      </c>
      <c r="D610" s="488" t="s">
        <v>2467</v>
      </c>
      <c r="E610" s="101">
        <v>43394</v>
      </c>
      <c r="F610" s="46">
        <v>720</v>
      </c>
    </row>
    <row r="611" spans="1:6">
      <c r="A611" s="488" t="s">
        <v>789</v>
      </c>
      <c r="B611" s="488" t="s">
        <v>504</v>
      </c>
      <c r="C611" s="757" t="s">
        <v>2591</v>
      </c>
      <c r="D611" s="488" t="s">
        <v>103</v>
      </c>
      <c r="E611" s="101">
        <v>43394</v>
      </c>
      <c r="F611" s="46">
        <v>1140.8</v>
      </c>
    </row>
    <row r="612" spans="1:6">
      <c r="A612" s="488" t="s">
        <v>742</v>
      </c>
      <c r="B612" s="488" t="s">
        <v>415</v>
      </c>
      <c r="C612" s="757" t="s">
        <v>2024</v>
      </c>
      <c r="D612" s="488" t="s">
        <v>2465</v>
      </c>
      <c r="E612" s="101">
        <v>43394</v>
      </c>
      <c r="F612" s="46">
        <v>954.73</v>
      </c>
    </row>
    <row r="613" spans="1:6">
      <c r="A613" s="488" t="s">
        <v>479</v>
      </c>
      <c r="B613" s="488" t="s">
        <v>480</v>
      </c>
      <c r="C613" s="757" t="s">
        <v>2025</v>
      </c>
      <c r="D613" s="488" t="s">
        <v>2471</v>
      </c>
      <c r="E613" s="101">
        <v>43394</v>
      </c>
      <c r="F613" s="46">
        <v>831</v>
      </c>
    </row>
    <row r="614" spans="1:6">
      <c r="A614" s="488" t="s">
        <v>747</v>
      </c>
      <c r="B614" s="488" t="s">
        <v>748</v>
      </c>
      <c r="C614" s="757" t="s">
        <v>2026</v>
      </c>
      <c r="D614" s="488" t="s">
        <v>2465</v>
      </c>
      <c r="E614" s="101">
        <v>43394</v>
      </c>
      <c r="F614" s="46">
        <v>674.56</v>
      </c>
    </row>
    <row r="615" spans="1:6">
      <c r="A615" s="488" t="s">
        <v>431</v>
      </c>
      <c r="B615" s="488" t="s">
        <v>432</v>
      </c>
      <c r="C615" s="757" t="s">
        <v>2027</v>
      </c>
      <c r="D615" s="488" t="s">
        <v>2472</v>
      </c>
      <c r="E615" s="101">
        <v>43394</v>
      </c>
      <c r="F615" s="46">
        <v>350</v>
      </c>
    </row>
    <row r="616" spans="1:6">
      <c r="A616" s="488" t="s">
        <v>397</v>
      </c>
      <c r="B616" s="488" t="s">
        <v>398</v>
      </c>
      <c r="C616" s="757" t="s">
        <v>2592</v>
      </c>
      <c r="D616" s="488" t="s">
        <v>2493</v>
      </c>
      <c r="E616" s="101">
        <v>43395</v>
      </c>
      <c r="F616" s="46">
        <v>481.2</v>
      </c>
    </row>
    <row r="617" spans="1:6">
      <c r="A617" s="488" t="s">
        <v>354</v>
      </c>
      <c r="B617" s="488" t="s">
        <v>355</v>
      </c>
      <c r="C617" s="757" t="s">
        <v>2028</v>
      </c>
      <c r="D617" s="488" t="s">
        <v>2470</v>
      </c>
      <c r="E617" s="101">
        <v>43395</v>
      </c>
      <c r="F617" s="46">
        <v>1200</v>
      </c>
    </row>
    <row r="618" spans="1:6">
      <c r="A618" s="488" t="s">
        <v>472</v>
      </c>
      <c r="B618" s="488" t="s">
        <v>473</v>
      </c>
      <c r="C618" s="757" t="s">
        <v>2029</v>
      </c>
      <c r="D618" s="488" t="s">
        <v>2465</v>
      </c>
      <c r="E618" s="101">
        <v>43395</v>
      </c>
      <c r="F618" s="46">
        <v>5000</v>
      </c>
    </row>
    <row r="619" spans="1:6">
      <c r="A619" s="488" t="s">
        <v>682</v>
      </c>
      <c r="B619" s="488" t="s">
        <v>683</v>
      </c>
      <c r="C619" s="757" t="s">
        <v>2030</v>
      </c>
      <c r="D619" s="488" t="s">
        <v>2468</v>
      </c>
      <c r="E619" s="101">
        <v>43395</v>
      </c>
      <c r="F619" s="46">
        <v>3278.82</v>
      </c>
    </row>
    <row r="620" spans="1:6">
      <c r="A620" s="488" t="s">
        <v>512</v>
      </c>
      <c r="B620" s="488" t="s">
        <v>498</v>
      </c>
      <c r="C620" s="757" t="s">
        <v>2593</v>
      </c>
      <c r="D620" s="488" t="s">
        <v>2493</v>
      </c>
      <c r="E620" s="101">
        <v>43396</v>
      </c>
      <c r="F620" s="46">
        <v>737.33</v>
      </c>
    </row>
    <row r="621" spans="1:6">
      <c r="A621" s="488" t="s">
        <v>479</v>
      </c>
      <c r="B621" s="488" t="s">
        <v>480</v>
      </c>
      <c r="C621" s="757" t="s">
        <v>2031</v>
      </c>
      <c r="D621" s="488" t="s">
        <v>2471</v>
      </c>
      <c r="E621" s="101">
        <v>43396</v>
      </c>
      <c r="F621" s="46">
        <v>831</v>
      </c>
    </row>
    <row r="622" spans="1:6">
      <c r="A622" s="488" t="s">
        <v>340</v>
      </c>
      <c r="B622" s="488" t="s">
        <v>341</v>
      </c>
      <c r="C622" s="757" t="s">
        <v>2034</v>
      </c>
      <c r="D622" s="488" t="s">
        <v>2468</v>
      </c>
      <c r="E622" s="101">
        <v>43396</v>
      </c>
      <c r="F622" s="46">
        <v>666.66</v>
      </c>
    </row>
    <row r="623" spans="1:6">
      <c r="A623" s="488" t="s">
        <v>466</v>
      </c>
      <c r="B623" s="488" t="s">
        <v>467</v>
      </c>
      <c r="C623" s="757" t="s">
        <v>2032</v>
      </c>
      <c r="D623" s="488" t="s">
        <v>2468</v>
      </c>
      <c r="E623" s="101">
        <v>43396</v>
      </c>
      <c r="F623" s="46">
        <v>1400</v>
      </c>
    </row>
    <row r="624" spans="1:6">
      <c r="A624" s="488" t="s">
        <v>457</v>
      </c>
      <c r="B624" s="488" t="s">
        <v>458</v>
      </c>
      <c r="C624" s="757" t="s">
        <v>2033</v>
      </c>
      <c r="D624" s="488" t="s">
        <v>2472</v>
      </c>
      <c r="E624" s="101">
        <v>43396</v>
      </c>
      <c r="F624" s="46">
        <v>2441.8200000000002</v>
      </c>
    </row>
    <row r="625" spans="1:6">
      <c r="A625" s="488" t="s">
        <v>350</v>
      </c>
      <c r="B625" s="488" t="s">
        <v>351</v>
      </c>
      <c r="C625" s="757" t="s">
        <v>2037</v>
      </c>
      <c r="D625" s="488" t="s">
        <v>2469</v>
      </c>
      <c r="E625" s="101">
        <v>43397</v>
      </c>
      <c r="F625" s="46">
        <v>500</v>
      </c>
    </row>
    <row r="626" spans="1:6">
      <c r="A626" s="488" t="s">
        <v>899</v>
      </c>
      <c r="B626" s="488" t="s">
        <v>900</v>
      </c>
      <c r="C626" s="757" t="s">
        <v>2035</v>
      </c>
      <c r="D626" s="488" t="s">
        <v>2465</v>
      </c>
      <c r="E626" s="101">
        <v>43397</v>
      </c>
      <c r="F626" s="46">
        <v>760.37</v>
      </c>
    </row>
    <row r="627" spans="1:6">
      <c r="A627" s="488" t="s">
        <v>475</v>
      </c>
      <c r="B627" s="488" t="s">
        <v>476</v>
      </c>
      <c r="C627" s="757" t="s">
        <v>2036</v>
      </c>
      <c r="D627" s="488" t="s">
        <v>103</v>
      </c>
      <c r="E627" s="101">
        <v>43397</v>
      </c>
      <c r="F627" s="46">
        <v>2600</v>
      </c>
    </row>
    <row r="628" spans="1:6">
      <c r="A628" s="488" t="s">
        <v>2056</v>
      </c>
      <c r="B628" s="488" t="s">
        <v>400</v>
      </c>
      <c r="C628" s="757" t="s">
        <v>2057</v>
      </c>
      <c r="D628" s="488" t="s">
        <v>2465</v>
      </c>
      <c r="E628" s="101">
        <v>43398</v>
      </c>
      <c r="F628" s="46">
        <v>580.54999999999995</v>
      </c>
    </row>
    <row r="629" spans="1:6">
      <c r="A629" s="488" t="s">
        <v>326</v>
      </c>
      <c r="B629" s="488" t="s">
        <v>327</v>
      </c>
      <c r="C629" s="757" t="s">
        <v>2038</v>
      </c>
      <c r="D629" s="488" t="s">
        <v>2468</v>
      </c>
      <c r="E629" s="101">
        <v>43398</v>
      </c>
      <c r="F629" s="46">
        <v>2000</v>
      </c>
    </row>
    <row r="630" spans="1:6">
      <c r="A630" s="488" t="s">
        <v>890</v>
      </c>
      <c r="B630" s="488" t="s">
        <v>891</v>
      </c>
      <c r="C630" s="757" t="s">
        <v>2039</v>
      </c>
      <c r="D630" s="488" t="s">
        <v>2472</v>
      </c>
      <c r="E630" s="101">
        <v>43398</v>
      </c>
      <c r="F630" s="46">
        <v>3000</v>
      </c>
    </row>
    <row r="631" spans="1:6">
      <c r="A631" s="488" t="s">
        <v>401</v>
      </c>
      <c r="B631" s="488" t="s">
        <v>402</v>
      </c>
      <c r="C631" s="757" t="s">
        <v>2040</v>
      </c>
      <c r="D631" s="488" t="s">
        <v>2468</v>
      </c>
      <c r="E631" s="101">
        <v>43398</v>
      </c>
      <c r="F631" s="46">
        <v>4000</v>
      </c>
    </row>
    <row r="632" spans="1:6">
      <c r="A632" s="488" t="s">
        <v>468</v>
      </c>
      <c r="B632" s="488" t="s">
        <v>469</v>
      </c>
      <c r="C632" s="757" t="s">
        <v>1626</v>
      </c>
      <c r="D632" s="488" t="s">
        <v>103</v>
      </c>
      <c r="E632" s="101">
        <v>43398</v>
      </c>
      <c r="F632" s="46">
        <v>2410.21</v>
      </c>
    </row>
    <row r="633" spans="1:6">
      <c r="A633" s="488" t="s">
        <v>338</v>
      </c>
      <c r="B633" s="488" t="s">
        <v>339</v>
      </c>
      <c r="C633" s="757" t="s">
        <v>2055</v>
      </c>
      <c r="D633" s="488" t="s">
        <v>2476</v>
      </c>
      <c r="E633" s="101">
        <v>43398</v>
      </c>
      <c r="F633" s="46">
        <v>1910.87</v>
      </c>
    </row>
    <row r="634" spans="1:6">
      <c r="A634" s="488" t="s">
        <v>563</v>
      </c>
      <c r="B634" s="488" t="s">
        <v>492</v>
      </c>
      <c r="C634" s="757" t="s">
        <v>2041</v>
      </c>
      <c r="D634" s="488" t="s">
        <v>2468</v>
      </c>
      <c r="E634" s="101">
        <v>43398</v>
      </c>
      <c r="F634" s="46">
        <v>2700</v>
      </c>
    </row>
    <row r="635" spans="1:6">
      <c r="A635" s="488" t="s">
        <v>322</v>
      </c>
      <c r="B635" s="488" t="s">
        <v>323</v>
      </c>
      <c r="C635" s="757" t="s">
        <v>2594</v>
      </c>
      <c r="D635" s="488" t="s">
        <v>2472</v>
      </c>
      <c r="E635" s="101">
        <v>43398</v>
      </c>
      <c r="F635" s="46">
        <v>2000</v>
      </c>
    </row>
    <row r="636" spans="1:6">
      <c r="A636" s="488" t="s">
        <v>409</v>
      </c>
      <c r="B636" s="488" t="s">
        <v>410</v>
      </c>
      <c r="C636" s="757" t="s">
        <v>2054</v>
      </c>
      <c r="D636" s="488" t="s">
        <v>2468</v>
      </c>
      <c r="E636" s="101">
        <v>43398</v>
      </c>
      <c r="F636" s="46">
        <v>880</v>
      </c>
    </row>
    <row r="637" spans="1:6">
      <c r="A637" s="488" t="s">
        <v>332</v>
      </c>
      <c r="B637" s="488" t="s">
        <v>333</v>
      </c>
      <c r="C637" s="757" t="s">
        <v>2042</v>
      </c>
      <c r="D637" s="488" t="s">
        <v>2466</v>
      </c>
      <c r="E637" s="101">
        <v>43398</v>
      </c>
      <c r="F637" s="46">
        <v>3921.42</v>
      </c>
    </row>
    <row r="638" spans="1:6">
      <c r="A638" s="488" t="s">
        <v>411</v>
      </c>
      <c r="B638" s="488" t="s">
        <v>412</v>
      </c>
      <c r="C638" s="757" t="s">
        <v>2595</v>
      </c>
      <c r="D638" s="488" t="s">
        <v>2465</v>
      </c>
      <c r="E638" s="101">
        <v>43398</v>
      </c>
      <c r="F638" s="46">
        <v>445.39</v>
      </c>
    </row>
    <row r="639" spans="1:6">
      <c r="A639" s="488" t="s">
        <v>505</v>
      </c>
      <c r="B639" s="488" t="s">
        <v>506</v>
      </c>
      <c r="C639" s="757" t="s">
        <v>2043</v>
      </c>
      <c r="D639" s="488" t="s">
        <v>2596</v>
      </c>
      <c r="E639" s="101">
        <v>43398</v>
      </c>
      <c r="F639" s="46">
        <v>3000</v>
      </c>
    </row>
    <row r="640" spans="1:6">
      <c r="A640" s="488" t="s">
        <v>794</v>
      </c>
      <c r="B640" s="488" t="s">
        <v>482</v>
      </c>
      <c r="C640" s="757" t="s">
        <v>2044</v>
      </c>
      <c r="D640" s="488" t="s">
        <v>2470</v>
      </c>
      <c r="E640" s="101">
        <v>43398</v>
      </c>
      <c r="F640" s="46">
        <v>1855.4</v>
      </c>
    </row>
    <row r="641" spans="1:6">
      <c r="A641" s="488" t="s">
        <v>479</v>
      </c>
      <c r="B641" s="488" t="s">
        <v>480</v>
      </c>
      <c r="C641" s="757" t="s">
        <v>2045</v>
      </c>
      <c r="D641" s="488" t="s">
        <v>2471</v>
      </c>
      <c r="E641" s="101">
        <v>43398</v>
      </c>
      <c r="F641" s="46">
        <v>831</v>
      </c>
    </row>
    <row r="642" spans="1:6">
      <c r="A642" s="488" t="s">
        <v>634</v>
      </c>
      <c r="B642" s="488" t="s">
        <v>635</v>
      </c>
      <c r="C642" s="757" t="s">
        <v>2046</v>
      </c>
      <c r="D642" s="488" t="s">
        <v>2472</v>
      </c>
      <c r="E642" s="101">
        <v>43398</v>
      </c>
      <c r="F642" s="46">
        <v>666.46</v>
      </c>
    </row>
    <row r="643" spans="1:6">
      <c r="A643" s="488" t="s">
        <v>438</v>
      </c>
      <c r="B643" s="488" t="s">
        <v>376</v>
      </c>
      <c r="C643" s="757" t="s">
        <v>2047</v>
      </c>
      <c r="D643" s="488" t="s">
        <v>2468</v>
      </c>
      <c r="E643" s="101">
        <v>43398</v>
      </c>
      <c r="F643" s="46">
        <v>390</v>
      </c>
    </row>
    <row r="644" spans="1:6">
      <c r="A644" s="488" t="s">
        <v>375</v>
      </c>
      <c r="B644" s="488" t="s">
        <v>376</v>
      </c>
      <c r="C644" s="757" t="s">
        <v>2048</v>
      </c>
      <c r="D644" s="488" t="s">
        <v>2511</v>
      </c>
      <c r="E644" s="101">
        <v>43398</v>
      </c>
      <c r="F644" s="46">
        <v>950</v>
      </c>
    </row>
    <row r="645" spans="1:6">
      <c r="A645" s="488" t="s">
        <v>375</v>
      </c>
      <c r="B645" s="488" t="s">
        <v>376</v>
      </c>
      <c r="C645" s="757" t="s">
        <v>2597</v>
      </c>
      <c r="D645" s="488" t="s">
        <v>2511</v>
      </c>
      <c r="E645" s="101">
        <v>43398</v>
      </c>
      <c r="F645" s="46">
        <v>500</v>
      </c>
    </row>
    <row r="646" spans="1:6">
      <c r="A646" s="488" t="s">
        <v>375</v>
      </c>
      <c r="B646" s="488" t="s">
        <v>376</v>
      </c>
      <c r="C646" s="757" t="s">
        <v>2598</v>
      </c>
      <c r="D646" s="488" t="s">
        <v>2511</v>
      </c>
      <c r="E646" s="101">
        <v>43398</v>
      </c>
      <c r="F646" s="46">
        <v>1000</v>
      </c>
    </row>
    <row r="647" spans="1:6">
      <c r="A647" s="488" t="s">
        <v>2599</v>
      </c>
      <c r="B647" s="488" t="s">
        <v>796</v>
      </c>
      <c r="C647" s="757" t="s">
        <v>2600</v>
      </c>
      <c r="D647" s="488" t="s">
        <v>2470</v>
      </c>
      <c r="E647" s="101">
        <v>43398</v>
      </c>
      <c r="F647" s="46">
        <v>2000</v>
      </c>
    </row>
    <row r="648" spans="1:6">
      <c r="A648" s="488" t="s">
        <v>486</v>
      </c>
      <c r="B648" s="488" t="s">
        <v>487</v>
      </c>
      <c r="C648" s="757" t="s">
        <v>2049</v>
      </c>
      <c r="D648" s="488" t="s">
        <v>103</v>
      </c>
      <c r="E648" s="101">
        <v>43398</v>
      </c>
      <c r="F648" s="46">
        <v>2300</v>
      </c>
    </row>
    <row r="649" spans="1:6">
      <c r="A649" s="488" t="s">
        <v>379</v>
      </c>
      <c r="B649" s="488" t="s">
        <v>380</v>
      </c>
      <c r="C649" s="757" t="s">
        <v>2050</v>
      </c>
      <c r="D649" s="488" t="s">
        <v>2472</v>
      </c>
      <c r="E649" s="101">
        <v>43398</v>
      </c>
      <c r="F649" s="46">
        <v>1016.36</v>
      </c>
    </row>
    <row r="650" spans="1:6">
      <c r="A650" s="488" t="s">
        <v>431</v>
      </c>
      <c r="B650" s="488" t="s">
        <v>432</v>
      </c>
      <c r="C650" s="757" t="s">
        <v>2051</v>
      </c>
      <c r="D650" s="488" t="s">
        <v>2472</v>
      </c>
      <c r="E650" s="101">
        <v>43398</v>
      </c>
      <c r="F650" s="46">
        <v>402</v>
      </c>
    </row>
    <row r="651" spans="1:6">
      <c r="A651" s="488" t="s">
        <v>583</v>
      </c>
      <c r="B651" s="488" t="s">
        <v>584</v>
      </c>
      <c r="C651" s="757" t="s">
        <v>2053</v>
      </c>
      <c r="D651" s="488" t="s">
        <v>2478</v>
      </c>
      <c r="E651" s="101">
        <v>43398</v>
      </c>
      <c r="F651" s="46">
        <v>1300</v>
      </c>
    </row>
    <row r="652" spans="1:6">
      <c r="A652" s="488" t="s">
        <v>393</v>
      </c>
      <c r="B652" s="488" t="s">
        <v>394</v>
      </c>
      <c r="C652" s="757" t="s">
        <v>2052</v>
      </c>
      <c r="D652" s="488" t="s">
        <v>2468</v>
      </c>
      <c r="E652" s="101">
        <v>43398</v>
      </c>
      <c r="F652" s="46">
        <v>1507.9</v>
      </c>
    </row>
    <row r="653" spans="1:6">
      <c r="A653" s="488" t="s">
        <v>350</v>
      </c>
      <c r="B653" s="488" t="s">
        <v>351</v>
      </c>
      <c r="C653" s="757" t="s">
        <v>2060</v>
      </c>
      <c r="D653" s="488" t="s">
        <v>2469</v>
      </c>
      <c r="E653" s="101">
        <v>43399</v>
      </c>
      <c r="F653" s="46">
        <v>500</v>
      </c>
    </row>
    <row r="654" spans="1:6">
      <c r="A654" s="488" t="s">
        <v>350</v>
      </c>
      <c r="B654" s="488" t="s">
        <v>351</v>
      </c>
      <c r="C654" s="757" t="s">
        <v>2058</v>
      </c>
      <c r="D654" s="488" t="s">
        <v>2469</v>
      </c>
      <c r="E654" s="101">
        <v>43399</v>
      </c>
      <c r="F654" s="46">
        <v>987.16</v>
      </c>
    </row>
    <row r="655" spans="1:6">
      <c r="A655" s="488" t="s">
        <v>418</v>
      </c>
      <c r="B655" s="488" t="s">
        <v>419</v>
      </c>
      <c r="C655" s="757" t="s">
        <v>2059</v>
      </c>
      <c r="D655" s="488" t="s">
        <v>2466</v>
      </c>
      <c r="E655" s="101">
        <v>43399</v>
      </c>
      <c r="F655" s="46">
        <v>1137.1400000000001</v>
      </c>
    </row>
    <row r="656" spans="1:6">
      <c r="A656" s="488" t="s">
        <v>742</v>
      </c>
      <c r="B656" s="488" t="s">
        <v>415</v>
      </c>
      <c r="C656" s="757" t="s">
        <v>2061</v>
      </c>
      <c r="D656" s="488" t="s">
        <v>2465</v>
      </c>
      <c r="E656" s="101">
        <v>43400</v>
      </c>
      <c r="F656" s="46">
        <v>954.73</v>
      </c>
    </row>
    <row r="657" spans="1:6">
      <c r="A657" s="488" t="s">
        <v>479</v>
      </c>
      <c r="B657" s="488" t="s">
        <v>480</v>
      </c>
      <c r="C657" s="757" t="s">
        <v>2062</v>
      </c>
      <c r="D657" s="488" t="s">
        <v>2471</v>
      </c>
      <c r="E657" s="101">
        <v>43400</v>
      </c>
      <c r="F657" s="46">
        <v>831</v>
      </c>
    </row>
    <row r="658" spans="1:6">
      <c r="A658" s="488" t="s">
        <v>747</v>
      </c>
      <c r="B658" s="488" t="s">
        <v>748</v>
      </c>
      <c r="C658" s="757" t="s">
        <v>2063</v>
      </c>
      <c r="D658" s="488" t="s">
        <v>2496</v>
      </c>
      <c r="E658" s="101">
        <v>43400</v>
      </c>
      <c r="F658" s="46">
        <v>660</v>
      </c>
    </row>
    <row r="659" spans="1:6">
      <c r="A659" s="488" t="s">
        <v>884</v>
      </c>
      <c r="B659" s="488" t="s">
        <v>885</v>
      </c>
      <c r="C659" s="757" t="s">
        <v>2064</v>
      </c>
      <c r="D659" s="488" t="s">
        <v>2464</v>
      </c>
      <c r="E659" s="101">
        <v>43400</v>
      </c>
      <c r="F659" s="46">
        <v>4496.8900000000003</v>
      </c>
    </row>
    <row r="660" spans="1:6">
      <c r="A660" s="488" t="s">
        <v>501</v>
      </c>
      <c r="B660" s="488" t="s">
        <v>502</v>
      </c>
      <c r="C660" s="757" t="s">
        <v>2065</v>
      </c>
      <c r="D660" s="488" t="s">
        <v>2472</v>
      </c>
      <c r="E660" s="101">
        <v>43400</v>
      </c>
      <c r="F660" s="46">
        <v>7162.55</v>
      </c>
    </row>
    <row r="661" spans="1:6">
      <c r="A661" s="488" t="s">
        <v>346</v>
      </c>
      <c r="B661" s="488" t="s">
        <v>347</v>
      </c>
      <c r="C661" s="757" t="s">
        <v>2066</v>
      </c>
      <c r="D661" s="488" t="s">
        <v>103</v>
      </c>
      <c r="E661" s="101">
        <v>43400</v>
      </c>
      <c r="F661" s="46">
        <v>3000</v>
      </c>
    </row>
    <row r="662" spans="1:6">
      <c r="A662" s="488" t="s">
        <v>336</v>
      </c>
      <c r="B662" s="488" t="s">
        <v>337</v>
      </c>
      <c r="C662" s="757" t="s">
        <v>2067</v>
      </c>
      <c r="D662" s="488" t="s">
        <v>2467</v>
      </c>
      <c r="E662" s="101">
        <v>43401</v>
      </c>
      <c r="F662" s="46">
        <v>720</v>
      </c>
    </row>
    <row r="663" spans="1:6">
      <c r="A663" s="488" t="s">
        <v>429</v>
      </c>
      <c r="B663" s="488" t="s">
        <v>430</v>
      </c>
      <c r="C663" s="757" t="s">
        <v>2068</v>
      </c>
      <c r="D663" s="488" t="s">
        <v>2495</v>
      </c>
      <c r="E663" s="101">
        <v>43401</v>
      </c>
      <c r="F663" s="46">
        <v>898.84</v>
      </c>
    </row>
    <row r="664" spans="1:6">
      <c r="A664" s="488" t="s">
        <v>789</v>
      </c>
      <c r="B664" s="488" t="s">
        <v>504</v>
      </c>
      <c r="C664" s="757" t="s">
        <v>2601</v>
      </c>
      <c r="D664" s="488" t="s">
        <v>103</v>
      </c>
      <c r="E664" s="101">
        <v>43401</v>
      </c>
      <c r="F664" s="46">
        <v>1140.5999999999999</v>
      </c>
    </row>
    <row r="665" spans="1:6">
      <c r="A665" s="488" t="s">
        <v>507</v>
      </c>
      <c r="B665" s="488" t="s">
        <v>508</v>
      </c>
      <c r="C665" s="757" t="s">
        <v>2069</v>
      </c>
      <c r="D665" s="488" t="s">
        <v>2497</v>
      </c>
      <c r="E665" s="101">
        <v>43401</v>
      </c>
      <c r="F665" s="46">
        <v>1087.3800000000001</v>
      </c>
    </row>
    <row r="666" spans="1:6">
      <c r="A666" s="488" t="s">
        <v>495</v>
      </c>
      <c r="B666" s="488" t="s">
        <v>496</v>
      </c>
      <c r="C666" s="757" t="s">
        <v>2070</v>
      </c>
      <c r="D666" s="488" t="s">
        <v>2476</v>
      </c>
      <c r="E666" s="101">
        <v>43401</v>
      </c>
      <c r="F666" s="46">
        <v>7434.32</v>
      </c>
    </row>
    <row r="667" spans="1:6">
      <c r="A667" s="488" t="s">
        <v>499</v>
      </c>
      <c r="B667" s="488" t="s">
        <v>500</v>
      </c>
      <c r="C667" s="757" t="s">
        <v>2071</v>
      </c>
      <c r="D667" s="488" t="s">
        <v>2467</v>
      </c>
      <c r="E667" s="101">
        <v>43401</v>
      </c>
      <c r="F667" s="46">
        <v>700</v>
      </c>
    </row>
    <row r="668" spans="1:6">
      <c r="A668" s="488" t="s">
        <v>2602</v>
      </c>
      <c r="B668" s="488" t="s">
        <v>2603</v>
      </c>
      <c r="C668" s="757" t="s">
        <v>2604</v>
      </c>
      <c r="D668" s="488" t="s">
        <v>2470</v>
      </c>
      <c r="E668" s="101">
        <v>43402</v>
      </c>
      <c r="F668" s="46">
        <v>211.43</v>
      </c>
    </row>
    <row r="669" spans="1:6">
      <c r="A669" s="488" t="s">
        <v>479</v>
      </c>
      <c r="B669" s="488" t="s">
        <v>480</v>
      </c>
      <c r="C669" s="757" t="s">
        <v>2072</v>
      </c>
      <c r="D669" s="488" t="s">
        <v>2471</v>
      </c>
      <c r="E669" s="101">
        <v>43402</v>
      </c>
      <c r="F669" s="46">
        <v>835.2</v>
      </c>
    </row>
    <row r="670" spans="1:6">
      <c r="A670" s="488" t="s">
        <v>426</v>
      </c>
      <c r="B670" s="488" t="s">
        <v>427</v>
      </c>
      <c r="C670" s="757" t="s">
        <v>2605</v>
      </c>
      <c r="D670" s="488" t="s">
        <v>2463</v>
      </c>
      <c r="E670" s="101">
        <v>43402</v>
      </c>
      <c r="F670" s="46">
        <v>299.62</v>
      </c>
    </row>
    <row r="671" spans="1:6">
      <c r="A671" s="488" t="s">
        <v>320</v>
      </c>
      <c r="B671" s="488" t="s">
        <v>321</v>
      </c>
      <c r="C671" s="757" t="s">
        <v>2073</v>
      </c>
      <c r="D671" s="488" t="s">
        <v>2471</v>
      </c>
      <c r="E671" s="101">
        <v>43402</v>
      </c>
      <c r="F671" s="46">
        <v>1909.67</v>
      </c>
    </row>
    <row r="672" spans="1:6">
      <c r="A672" s="488" t="s">
        <v>906</v>
      </c>
      <c r="B672" s="488" t="s">
        <v>845</v>
      </c>
      <c r="C672" s="757" t="s">
        <v>2074</v>
      </c>
      <c r="D672" s="488" t="s">
        <v>2511</v>
      </c>
      <c r="E672" s="101">
        <v>43402</v>
      </c>
      <c r="F672" s="46">
        <v>1869.28</v>
      </c>
    </row>
    <row r="673" spans="1:11">
      <c r="A673" s="488" t="s">
        <v>510</v>
      </c>
      <c r="B673" s="488" t="s">
        <v>511</v>
      </c>
      <c r="C673" s="757" t="s">
        <v>2075</v>
      </c>
      <c r="D673" s="488" t="s">
        <v>2467</v>
      </c>
      <c r="E673" s="101">
        <v>43402</v>
      </c>
      <c r="F673" s="46">
        <v>2476.3200000000002</v>
      </c>
    </row>
    <row r="674" spans="1:11">
      <c r="A674" s="488" t="s">
        <v>466</v>
      </c>
      <c r="B674" s="488" t="s">
        <v>467</v>
      </c>
      <c r="C674" s="757" t="s">
        <v>2076</v>
      </c>
      <c r="D674" s="488" t="s">
        <v>2468</v>
      </c>
      <c r="E674" s="101">
        <v>43402</v>
      </c>
      <c r="F674" s="46">
        <v>1491.11</v>
      </c>
    </row>
    <row r="675" spans="1:11">
      <c r="A675" s="488" t="s">
        <v>867</v>
      </c>
      <c r="B675" s="488" t="s">
        <v>868</v>
      </c>
      <c r="C675" s="757" t="s">
        <v>2133</v>
      </c>
      <c r="D675" s="488" t="s">
        <v>2463</v>
      </c>
      <c r="E675" s="101">
        <v>43403</v>
      </c>
      <c r="F675" s="46">
        <v>1533.94</v>
      </c>
    </row>
    <row r="676" spans="1:11">
      <c r="A676" s="488" t="s">
        <v>326</v>
      </c>
      <c r="B676" s="488" t="s">
        <v>327</v>
      </c>
      <c r="C676" s="757" t="s">
        <v>2077</v>
      </c>
      <c r="D676" s="488" t="s">
        <v>2468</v>
      </c>
      <c r="E676" s="101">
        <v>43403</v>
      </c>
      <c r="F676" s="46">
        <v>2000</v>
      </c>
    </row>
    <row r="677" spans="1:11">
      <c r="A677" s="488" t="s">
        <v>350</v>
      </c>
      <c r="B677" s="488" t="s">
        <v>351</v>
      </c>
      <c r="C677" s="757" t="s">
        <v>2134</v>
      </c>
      <c r="D677" s="488" t="s">
        <v>2469</v>
      </c>
      <c r="E677" s="101">
        <v>43403</v>
      </c>
      <c r="F677" s="46">
        <v>506.45</v>
      </c>
    </row>
    <row r="678" spans="1:11">
      <c r="A678" s="488" t="s">
        <v>668</v>
      </c>
      <c r="B678" s="488" t="s">
        <v>669</v>
      </c>
      <c r="C678" s="757" t="s">
        <v>2135</v>
      </c>
      <c r="D678" s="488" t="s">
        <v>2468</v>
      </c>
      <c r="E678" s="101">
        <v>43403</v>
      </c>
      <c r="F678" s="46">
        <v>1828.27</v>
      </c>
    </row>
    <row r="679" spans="1:11">
      <c r="A679" s="488" t="s">
        <v>593</v>
      </c>
      <c r="B679" s="488" t="s">
        <v>594</v>
      </c>
      <c r="C679" s="757" t="s">
        <v>2136</v>
      </c>
      <c r="D679" s="488" t="s">
        <v>2466</v>
      </c>
      <c r="E679" s="101">
        <v>43403</v>
      </c>
      <c r="F679" s="46">
        <v>1540.91</v>
      </c>
    </row>
    <row r="680" spans="1:11">
      <c r="A680" s="488" t="s">
        <v>869</v>
      </c>
      <c r="B680" s="488" t="s">
        <v>595</v>
      </c>
      <c r="C680" s="757" t="s">
        <v>2078</v>
      </c>
      <c r="D680" s="488" t="s">
        <v>2466</v>
      </c>
      <c r="E680" s="101">
        <v>43403</v>
      </c>
      <c r="F680" s="46">
        <v>8653.9</v>
      </c>
    </row>
    <row r="681" spans="1:11">
      <c r="A681" s="488" t="s">
        <v>448</v>
      </c>
      <c r="B681" s="488" t="s">
        <v>449</v>
      </c>
      <c r="C681" s="757" t="s">
        <v>2606</v>
      </c>
      <c r="D681" s="488" t="s">
        <v>2468</v>
      </c>
      <c r="E681" s="101">
        <v>43403</v>
      </c>
      <c r="F681" s="46">
        <v>4955.3599999999997</v>
      </c>
    </row>
    <row r="682" spans="1:11">
      <c r="A682" s="488" t="s">
        <v>565</v>
      </c>
      <c r="B682" s="488" t="s">
        <v>566</v>
      </c>
      <c r="C682" s="757" t="s">
        <v>2079</v>
      </c>
      <c r="D682" s="488" t="s">
        <v>2468</v>
      </c>
      <c r="E682" s="101">
        <v>43403</v>
      </c>
      <c r="F682" s="46">
        <v>5389.46</v>
      </c>
    </row>
    <row r="683" spans="1:11">
      <c r="A683" s="488" t="s">
        <v>565</v>
      </c>
      <c r="B683" s="488" t="s">
        <v>566</v>
      </c>
      <c r="C683" s="757" t="s">
        <v>2080</v>
      </c>
      <c r="D683" s="488" t="s">
        <v>2468</v>
      </c>
      <c r="E683" s="101">
        <v>43403</v>
      </c>
      <c r="F683" s="46">
        <v>5954.93</v>
      </c>
      <c r="G683" s="795"/>
      <c r="H683" s="778"/>
      <c r="I683" s="778"/>
      <c r="J683" s="796"/>
      <c r="K683" s="797"/>
    </row>
    <row r="684" spans="1:11">
      <c r="A684" s="488" t="s">
        <v>797</v>
      </c>
      <c r="B684" s="488" t="s">
        <v>798</v>
      </c>
      <c r="C684" s="757" t="s">
        <v>2081</v>
      </c>
      <c r="D684" s="488" t="s">
        <v>2468</v>
      </c>
      <c r="E684" s="101">
        <v>43403</v>
      </c>
      <c r="F684" s="46">
        <v>6603.29</v>
      </c>
    </row>
    <row r="685" spans="1:11">
      <c r="A685" s="488" t="s">
        <v>2137</v>
      </c>
      <c r="B685" s="488" t="s">
        <v>568</v>
      </c>
      <c r="C685" s="757" t="s">
        <v>2138</v>
      </c>
      <c r="D685" s="488" t="s">
        <v>2479</v>
      </c>
      <c r="E685" s="101">
        <v>43403</v>
      </c>
      <c r="F685" s="46">
        <v>4295.53</v>
      </c>
    </row>
    <row r="686" spans="1:11">
      <c r="A686" s="488" t="s">
        <v>2129</v>
      </c>
      <c r="B686" s="488" t="s">
        <v>2130</v>
      </c>
      <c r="C686" s="757" t="s">
        <v>2131</v>
      </c>
      <c r="D686" s="488" t="s">
        <v>2468</v>
      </c>
      <c r="E686" s="101">
        <v>43403</v>
      </c>
      <c r="F686" s="46">
        <v>3973.1</v>
      </c>
    </row>
    <row r="687" spans="1:11">
      <c r="A687" s="488" t="s">
        <v>405</v>
      </c>
      <c r="B687" s="488" t="s">
        <v>406</v>
      </c>
      <c r="C687" s="757" t="s">
        <v>2607</v>
      </c>
      <c r="D687" s="488" t="s">
        <v>2468</v>
      </c>
      <c r="E687" s="101">
        <v>43403</v>
      </c>
      <c r="F687" s="46">
        <v>5000</v>
      </c>
    </row>
    <row r="688" spans="1:11">
      <c r="A688" s="488" t="s">
        <v>598</v>
      </c>
      <c r="B688" s="488" t="s">
        <v>599</v>
      </c>
      <c r="C688" s="757" t="s">
        <v>2082</v>
      </c>
      <c r="D688" s="488" t="s">
        <v>2466</v>
      </c>
      <c r="E688" s="101">
        <v>43403</v>
      </c>
      <c r="F688" s="46">
        <v>1881.85</v>
      </c>
    </row>
    <row r="689" spans="1:6">
      <c r="A689" s="488" t="s">
        <v>600</v>
      </c>
      <c r="B689" s="488" t="s">
        <v>601</v>
      </c>
      <c r="C689" s="757" t="s">
        <v>2083</v>
      </c>
      <c r="D689" s="488" t="s">
        <v>103</v>
      </c>
      <c r="E689" s="101">
        <v>43403</v>
      </c>
      <c r="F689" s="46">
        <v>287.31</v>
      </c>
    </row>
    <row r="690" spans="1:6">
      <c r="A690" s="488" t="s">
        <v>461</v>
      </c>
      <c r="B690" s="488" t="s">
        <v>462</v>
      </c>
      <c r="C690" s="757" t="s">
        <v>2084</v>
      </c>
      <c r="D690" s="488" t="s">
        <v>2468</v>
      </c>
      <c r="E690" s="101">
        <v>43403</v>
      </c>
      <c r="F690" s="46">
        <v>684.85</v>
      </c>
    </row>
    <row r="691" spans="1:6">
      <c r="A691" s="488" t="s">
        <v>670</v>
      </c>
      <c r="B691" s="488" t="s">
        <v>671</v>
      </c>
      <c r="C691" s="757" t="s">
        <v>2132</v>
      </c>
      <c r="D691" s="488" t="s">
        <v>2478</v>
      </c>
      <c r="E691" s="101">
        <v>43403</v>
      </c>
      <c r="F691" s="46">
        <v>6138.1</v>
      </c>
    </row>
    <row r="692" spans="1:6">
      <c r="A692" s="488" t="s">
        <v>915</v>
      </c>
      <c r="B692" s="488" t="s">
        <v>916</v>
      </c>
      <c r="C692" s="757" t="s">
        <v>1456</v>
      </c>
      <c r="D692" s="488" t="s">
        <v>103</v>
      </c>
      <c r="E692" s="101">
        <v>43403</v>
      </c>
      <c r="F692" s="46">
        <v>877.54</v>
      </c>
    </row>
    <row r="693" spans="1:6">
      <c r="A693" s="488" t="s">
        <v>602</v>
      </c>
      <c r="B693" s="488" t="s">
        <v>603</v>
      </c>
      <c r="C693" s="757" t="s">
        <v>2085</v>
      </c>
      <c r="D693" s="488" t="s">
        <v>103</v>
      </c>
      <c r="E693" s="101">
        <v>43403</v>
      </c>
      <c r="F693" s="46">
        <v>6229.98</v>
      </c>
    </row>
    <row r="694" spans="1:6" s="749" customFormat="1">
      <c r="A694" s="488" t="s">
        <v>672</v>
      </c>
      <c r="B694" s="488" t="s">
        <v>673</v>
      </c>
      <c r="C694" s="757" t="s">
        <v>1447</v>
      </c>
      <c r="D694" s="488" t="s">
        <v>2485</v>
      </c>
      <c r="E694" s="101">
        <v>43403</v>
      </c>
      <c r="F694" s="46">
        <v>1408.36</v>
      </c>
    </row>
    <row r="695" spans="1:6">
      <c r="A695" s="488" t="s">
        <v>1829</v>
      </c>
      <c r="B695" s="488" t="s">
        <v>1830</v>
      </c>
      <c r="C695" s="757" t="s">
        <v>2121</v>
      </c>
      <c r="D695" s="488" t="s">
        <v>2467</v>
      </c>
      <c r="E695" s="101">
        <v>43403</v>
      </c>
      <c r="F695" s="46">
        <v>1200</v>
      </c>
    </row>
    <row r="696" spans="1:6">
      <c r="A696" s="488" t="s">
        <v>517</v>
      </c>
      <c r="B696" s="488" t="s">
        <v>518</v>
      </c>
      <c r="C696" s="757" t="s">
        <v>2608</v>
      </c>
      <c r="D696" s="488" t="s">
        <v>2510</v>
      </c>
      <c r="E696" s="101">
        <v>43403</v>
      </c>
      <c r="F696" s="46">
        <v>1653.56</v>
      </c>
    </row>
    <row r="697" spans="1:6">
      <c r="A697" s="488" t="s">
        <v>907</v>
      </c>
      <c r="B697" s="488" t="s">
        <v>519</v>
      </c>
      <c r="C697" s="757" t="s">
        <v>2086</v>
      </c>
      <c r="D697" s="488" t="s">
        <v>2467</v>
      </c>
      <c r="E697" s="101">
        <v>43403</v>
      </c>
      <c r="F697" s="46">
        <v>678.18</v>
      </c>
    </row>
    <row r="698" spans="1:6">
      <c r="A698" s="488" t="s">
        <v>2609</v>
      </c>
      <c r="B698" s="488" t="s">
        <v>520</v>
      </c>
      <c r="C698" s="757" t="s">
        <v>2610</v>
      </c>
      <c r="D698" s="488" t="s">
        <v>2463</v>
      </c>
      <c r="E698" s="101">
        <v>43403</v>
      </c>
      <c r="F698" s="46">
        <v>1897.14</v>
      </c>
    </row>
    <row r="699" spans="1:6">
      <c r="A699" s="488" t="s">
        <v>908</v>
      </c>
      <c r="B699" s="488" t="s">
        <v>807</v>
      </c>
      <c r="C699" s="757" t="s">
        <v>2087</v>
      </c>
      <c r="D699" s="488" t="s">
        <v>2510</v>
      </c>
      <c r="E699" s="101">
        <v>43403</v>
      </c>
      <c r="F699" s="46">
        <v>748.38</v>
      </c>
    </row>
    <row r="700" spans="1:6">
      <c r="A700" s="488" t="s">
        <v>358</v>
      </c>
      <c r="B700" s="488" t="s">
        <v>359</v>
      </c>
      <c r="C700" s="757" t="s">
        <v>2122</v>
      </c>
      <c r="D700" s="488" t="s">
        <v>2463</v>
      </c>
      <c r="E700" s="101">
        <v>43403</v>
      </c>
      <c r="F700" s="46">
        <v>500</v>
      </c>
    </row>
    <row r="701" spans="1:6">
      <c r="A701" s="488" t="s">
        <v>613</v>
      </c>
      <c r="B701" s="488" t="s">
        <v>614</v>
      </c>
      <c r="C701" s="757" t="s">
        <v>2198</v>
      </c>
      <c r="D701" s="488" t="s">
        <v>2471</v>
      </c>
      <c r="E701" s="101">
        <v>43403</v>
      </c>
      <c r="F701" s="46">
        <v>3703.75</v>
      </c>
    </row>
    <row r="702" spans="1:6">
      <c r="A702" s="488" t="s">
        <v>897</v>
      </c>
      <c r="B702" s="488" t="s">
        <v>898</v>
      </c>
      <c r="C702" s="757" t="s">
        <v>1315</v>
      </c>
      <c r="D702" s="488" t="s">
        <v>2500</v>
      </c>
      <c r="E702" s="101">
        <v>43403</v>
      </c>
      <c r="F702" s="46">
        <v>6729.23</v>
      </c>
    </row>
    <row r="703" spans="1:6">
      <c r="A703" s="488" t="s">
        <v>2611</v>
      </c>
      <c r="B703" s="488" t="s">
        <v>812</v>
      </c>
      <c r="C703" s="757" t="s">
        <v>2612</v>
      </c>
      <c r="D703" s="488" t="s">
        <v>2522</v>
      </c>
      <c r="E703" s="101">
        <v>43403</v>
      </c>
      <c r="F703" s="46">
        <v>609.94000000000005</v>
      </c>
    </row>
    <row r="704" spans="1:6">
      <c r="A704" s="488" t="s">
        <v>505</v>
      </c>
      <c r="B704" s="488" t="s">
        <v>506</v>
      </c>
      <c r="C704" s="757" t="s">
        <v>2088</v>
      </c>
      <c r="D704" s="488" t="s">
        <v>2596</v>
      </c>
      <c r="E704" s="101">
        <v>43403</v>
      </c>
      <c r="F704" s="46">
        <v>3005</v>
      </c>
    </row>
    <row r="705" spans="1:6">
      <c r="A705" s="488" t="s">
        <v>433</v>
      </c>
      <c r="B705" s="488" t="s">
        <v>434</v>
      </c>
      <c r="C705" s="757" t="s">
        <v>2089</v>
      </c>
      <c r="D705" s="488" t="s">
        <v>2462</v>
      </c>
      <c r="E705" s="101">
        <v>43403</v>
      </c>
      <c r="F705" s="46">
        <v>2105.7399999999998</v>
      </c>
    </row>
    <row r="706" spans="1:6">
      <c r="A706" s="488" t="s">
        <v>532</v>
      </c>
      <c r="B706" s="488" t="s">
        <v>533</v>
      </c>
      <c r="C706" s="757" t="s">
        <v>2125</v>
      </c>
      <c r="D706" s="488" t="s">
        <v>2465</v>
      </c>
      <c r="E706" s="101">
        <v>43403</v>
      </c>
      <c r="F706" s="46">
        <v>755.37</v>
      </c>
    </row>
    <row r="707" spans="1:6">
      <c r="A707" s="488" t="s">
        <v>2118</v>
      </c>
      <c r="B707" s="488" t="s">
        <v>2119</v>
      </c>
      <c r="C707" s="757" t="s">
        <v>2120</v>
      </c>
      <c r="D707" s="488" t="s">
        <v>2500</v>
      </c>
      <c r="E707" s="101">
        <v>43403</v>
      </c>
      <c r="F707" s="46">
        <v>1314.25</v>
      </c>
    </row>
    <row r="708" spans="1:6">
      <c r="A708" s="488" t="s">
        <v>817</v>
      </c>
      <c r="B708" s="488" t="s">
        <v>818</v>
      </c>
      <c r="C708" s="757" t="s">
        <v>2613</v>
      </c>
      <c r="D708" s="488" t="s">
        <v>2471</v>
      </c>
      <c r="E708" s="101">
        <v>43403</v>
      </c>
      <c r="F708" s="46">
        <v>3866.3</v>
      </c>
    </row>
    <row r="709" spans="1:6">
      <c r="A709" s="488" t="s">
        <v>2614</v>
      </c>
      <c r="B709" s="488" t="s">
        <v>425</v>
      </c>
      <c r="C709" s="757" t="s">
        <v>2615</v>
      </c>
      <c r="D709" s="488" t="s">
        <v>2470</v>
      </c>
      <c r="E709" s="101">
        <v>43403</v>
      </c>
      <c r="F709" s="46">
        <v>1026.53</v>
      </c>
    </row>
    <row r="710" spans="1:6">
      <c r="A710" s="488" t="s">
        <v>909</v>
      </c>
      <c r="B710" s="488" t="s">
        <v>910</v>
      </c>
      <c r="C710" s="757" t="s">
        <v>2090</v>
      </c>
      <c r="D710" s="488" t="s">
        <v>2469</v>
      </c>
      <c r="E710" s="101">
        <v>43403</v>
      </c>
      <c r="F710" s="46">
        <v>7284.14</v>
      </c>
    </row>
    <row r="711" spans="1:6">
      <c r="A711" s="488" t="s">
        <v>820</v>
      </c>
      <c r="B711" s="488" t="s">
        <v>624</v>
      </c>
      <c r="C711" s="757" t="s">
        <v>2616</v>
      </c>
      <c r="D711" s="488" t="s">
        <v>2466</v>
      </c>
      <c r="E711" s="101">
        <v>43403</v>
      </c>
      <c r="F711" s="46">
        <v>580.59</v>
      </c>
    </row>
    <row r="712" spans="1:6">
      <c r="A712" s="488" t="s">
        <v>821</v>
      </c>
      <c r="B712" s="488" t="s">
        <v>626</v>
      </c>
      <c r="C712" s="757" t="s">
        <v>2091</v>
      </c>
      <c r="D712" s="488" t="s">
        <v>2510</v>
      </c>
      <c r="E712" s="101">
        <v>43403</v>
      </c>
      <c r="F712" s="46">
        <v>2688.93</v>
      </c>
    </row>
    <row r="713" spans="1:6">
      <c r="A713" s="488" t="s">
        <v>435</v>
      </c>
      <c r="B713" s="488" t="s">
        <v>436</v>
      </c>
      <c r="C713" s="757" t="s">
        <v>2092</v>
      </c>
      <c r="D713" s="488" t="s">
        <v>2465</v>
      </c>
      <c r="E713" s="101">
        <v>43403</v>
      </c>
      <c r="F713" s="46">
        <v>1699.94</v>
      </c>
    </row>
    <row r="714" spans="1:6">
      <c r="A714" s="488" t="s">
        <v>2617</v>
      </c>
      <c r="B714" s="488" t="s">
        <v>536</v>
      </c>
      <c r="C714" s="757" t="s">
        <v>2618</v>
      </c>
      <c r="D714" s="488" t="s">
        <v>2466</v>
      </c>
      <c r="E714" s="101">
        <v>43403</v>
      </c>
      <c r="F714" s="46">
        <v>355.2</v>
      </c>
    </row>
    <row r="715" spans="1:6">
      <c r="A715" s="488" t="s">
        <v>2093</v>
      </c>
      <c r="B715" s="488" t="s">
        <v>825</v>
      </c>
      <c r="C715" s="757" t="s">
        <v>2094</v>
      </c>
      <c r="D715" s="488" t="s">
        <v>2499</v>
      </c>
      <c r="E715" s="101">
        <v>43403</v>
      </c>
      <c r="F715" s="46">
        <v>5110.82</v>
      </c>
    </row>
    <row r="716" spans="1:6">
      <c r="A716" s="488" t="s">
        <v>753</v>
      </c>
      <c r="B716" s="488" t="s">
        <v>370</v>
      </c>
      <c r="C716" s="757" t="s">
        <v>2095</v>
      </c>
      <c r="D716" s="488" t="s">
        <v>2541</v>
      </c>
      <c r="E716" s="101">
        <v>43403</v>
      </c>
      <c r="F716" s="46">
        <v>2809.76</v>
      </c>
    </row>
    <row r="717" spans="1:6">
      <c r="A717" s="488" t="s">
        <v>540</v>
      </c>
      <c r="B717" s="488" t="s">
        <v>541</v>
      </c>
      <c r="C717" s="757" t="s">
        <v>2619</v>
      </c>
      <c r="D717" s="488" t="s">
        <v>2471</v>
      </c>
      <c r="E717" s="101">
        <v>43403</v>
      </c>
      <c r="F717" s="46">
        <v>3140.86</v>
      </c>
    </row>
    <row r="718" spans="1:6">
      <c r="A718" s="488" t="s">
        <v>911</v>
      </c>
      <c r="B718" s="488" t="s">
        <v>748</v>
      </c>
      <c r="C718" s="757" t="s">
        <v>2096</v>
      </c>
      <c r="D718" s="488" t="s">
        <v>2497</v>
      </c>
      <c r="E718" s="101">
        <v>43403</v>
      </c>
      <c r="F718" s="46">
        <v>809.19</v>
      </c>
    </row>
    <row r="719" spans="1:6">
      <c r="A719" s="488" t="s">
        <v>373</v>
      </c>
      <c r="B719" s="488" t="s">
        <v>374</v>
      </c>
      <c r="C719" s="757" t="s">
        <v>2097</v>
      </c>
      <c r="D719" s="488" t="s">
        <v>2471</v>
      </c>
      <c r="E719" s="101">
        <v>43403</v>
      </c>
      <c r="F719" s="46">
        <v>1200</v>
      </c>
    </row>
    <row r="720" spans="1:6">
      <c r="A720" s="488" t="s">
        <v>912</v>
      </c>
      <c r="B720" s="488" t="s">
        <v>544</v>
      </c>
      <c r="C720" s="757" t="s">
        <v>2098</v>
      </c>
      <c r="D720" s="488" t="s">
        <v>2463</v>
      </c>
      <c r="E720" s="101">
        <v>43403</v>
      </c>
      <c r="F720" s="46">
        <v>9121.51</v>
      </c>
    </row>
    <row r="721" spans="1:6">
      <c r="A721" s="488" t="s">
        <v>2099</v>
      </c>
      <c r="B721" s="488" t="s">
        <v>633</v>
      </c>
      <c r="C721" s="757" t="s">
        <v>2100</v>
      </c>
      <c r="D721" s="488" t="s">
        <v>2468</v>
      </c>
      <c r="E721" s="101">
        <v>43403</v>
      </c>
      <c r="F721" s="46">
        <v>5171.33</v>
      </c>
    </row>
    <row r="722" spans="1:6">
      <c r="A722" s="488" t="s">
        <v>834</v>
      </c>
      <c r="B722" s="488" t="s">
        <v>835</v>
      </c>
      <c r="C722" s="757" t="s">
        <v>2101</v>
      </c>
      <c r="D722" s="488" t="s">
        <v>2540</v>
      </c>
      <c r="E722" s="101">
        <v>43403</v>
      </c>
      <c r="F722" s="46">
        <v>6352.36</v>
      </c>
    </row>
    <row r="723" spans="1:6">
      <c r="A723" s="488" t="s">
        <v>2123</v>
      </c>
      <c r="B723" s="488" t="s">
        <v>546</v>
      </c>
      <c r="C723" s="757" t="s">
        <v>2124</v>
      </c>
      <c r="D723" s="488" t="s">
        <v>2570</v>
      </c>
      <c r="E723" s="101">
        <v>43403</v>
      </c>
      <c r="F723" s="46">
        <v>980.03</v>
      </c>
    </row>
    <row r="724" spans="1:6">
      <c r="A724" s="488" t="s">
        <v>438</v>
      </c>
      <c r="B724" s="488" t="s">
        <v>376</v>
      </c>
      <c r="C724" s="757" t="s">
        <v>2103</v>
      </c>
      <c r="D724" s="488" t="s">
        <v>2468</v>
      </c>
      <c r="E724" s="101">
        <v>43403</v>
      </c>
      <c r="F724" s="46">
        <v>425</v>
      </c>
    </row>
    <row r="725" spans="1:6">
      <c r="A725" s="488" t="s">
        <v>438</v>
      </c>
      <c r="B725" s="488" t="s">
        <v>376</v>
      </c>
      <c r="C725" s="757" t="s">
        <v>2102</v>
      </c>
      <c r="D725" s="488" t="s">
        <v>2468</v>
      </c>
      <c r="E725" s="101">
        <v>43403</v>
      </c>
      <c r="F725" s="46">
        <v>1200</v>
      </c>
    </row>
    <row r="726" spans="1:6">
      <c r="A726" s="488" t="s">
        <v>375</v>
      </c>
      <c r="B726" s="488" t="s">
        <v>376</v>
      </c>
      <c r="C726" s="757" t="s">
        <v>2620</v>
      </c>
      <c r="D726" s="488" t="s">
        <v>2522</v>
      </c>
      <c r="E726" s="101">
        <v>43403</v>
      </c>
      <c r="F726" s="46">
        <v>750</v>
      </c>
    </row>
    <row r="727" spans="1:6">
      <c r="A727" s="488" t="s">
        <v>640</v>
      </c>
      <c r="B727" s="488" t="s">
        <v>641</v>
      </c>
      <c r="C727" s="757" t="s">
        <v>2104</v>
      </c>
      <c r="D727" s="488" t="s">
        <v>2463</v>
      </c>
      <c r="E727" s="101">
        <v>43403</v>
      </c>
      <c r="F727" s="46">
        <v>3322.58</v>
      </c>
    </row>
    <row r="728" spans="1:6">
      <c r="A728" s="488" t="s">
        <v>377</v>
      </c>
      <c r="B728" s="488" t="s">
        <v>378</v>
      </c>
      <c r="C728" s="757" t="s">
        <v>2621</v>
      </c>
      <c r="D728" s="488" t="s">
        <v>103</v>
      </c>
      <c r="E728" s="101">
        <v>43403</v>
      </c>
      <c r="F728" s="46">
        <v>3300</v>
      </c>
    </row>
    <row r="729" spans="1:6">
      <c r="A729" s="488" t="s">
        <v>377</v>
      </c>
      <c r="B729" s="488" t="s">
        <v>378</v>
      </c>
      <c r="C729" s="757" t="s">
        <v>2105</v>
      </c>
      <c r="D729" s="488" t="s">
        <v>103</v>
      </c>
      <c r="E729" s="101">
        <v>43403</v>
      </c>
      <c r="F729" s="46">
        <v>2759.63</v>
      </c>
    </row>
    <row r="730" spans="1:6">
      <c r="A730" s="488" t="s">
        <v>548</v>
      </c>
      <c r="B730" s="488" t="s">
        <v>549</v>
      </c>
      <c r="C730" s="757" t="s">
        <v>2106</v>
      </c>
      <c r="D730" s="488" t="s">
        <v>2522</v>
      </c>
      <c r="E730" s="101">
        <v>43403</v>
      </c>
      <c r="F730" s="46">
        <v>960.86</v>
      </c>
    </row>
    <row r="731" spans="1:6">
      <c r="A731" s="488" t="s">
        <v>913</v>
      </c>
      <c r="B731" s="488" t="s">
        <v>914</v>
      </c>
      <c r="C731" s="757" t="s">
        <v>2107</v>
      </c>
      <c r="D731" s="488" t="s">
        <v>2496</v>
      </c>
      <c r="E731" s="101">
        <v>43403</v>
      </c>
      <c r="F731" s="46">
        <v>311.02999999999997</v>
      </c>
    </row>
    <row r="732" spans="1:6">
      <c r="A732" s="488" t="s">
        <v>379</v>
      </c>
      <c r="B732" s="488" t="s">
        <v>380</v>
      </c>
      <c r="C732" s="757" t="s">
        <v>2108</v>
      </c>
      <c r="D732" s="488" t="s">
        <v>2622</v>
      </c>
      <c r="E732" s="101">
        <v>43403</v>
      </c>
      <c r="F732" s="46">
        <v>1224.93</v>
      </c>
    </row>
    <row r="733" spans="1:6">
      <c r="A733" s="488" t="s">
        <v>557</v>
      </c>
      <c r="B733" s="488" t="s">
        <v>558</v>
      </c>
      <c r="C733" s="757" t="s">
        <v>2623</v>
      </c>
      <c r="D733" s="488" t="s">
        <v>2476</v>
      </c>
      <c r="E733" s="101">
        <v>43403</v>
      </c>
      <c r="F733" s="46">
        <v>2366.31</v>
      </c>
    </row>
    <row r="734" spans="1:6">
      <c r="A734" s="488" t="s">
        <v>653</v>
      </c>
      <c r="B734" s="488" t="s">
        <v>654</v>
      </c>
      <c r="C734" s="757" t="s">
        <v>2109</v>
      </c>
      <c r="D734" s="488" t="s">
        <v>2476</v>
      </c>
      <c r="E734" s="101">
        <v>43403</v>
      </c>
      <c r="F734" s="46">
        <v>889.17</v>
      </c>
    </row>
    <row r="735" spans="1:6">
      <c r="A735" s="488" t="s">
        <v>561</v>
      </c>
      <c r="B735" s="488" t="s">
        <v>562</v>
      </c>
      <c r="C735" s="757" t="s">
        <v>2110</v>
      </c>
      <c r="D735" s="488" t="s">
        <v>2472</v>
      </c>
      <c r="E735" s="101">
        <v>43403</v>
      </c>
      <c r="F735" s="46">
        <v>3000</v>
      </c>
    </row>
    <row r="736" spans="1:6">
      <c r="A736" s="488" t="s">
        <v>776</v>
      </c>
      <c r="B736" s="488" t="s">
        <v>777</v>
      </c>
      <c r="C736" s="757" t="s">
        <v>2111</v>
      </c>
      <c r="D736" s="488" t="s">
        <v>2468</v>
      </c>
      <c r="E736" s="101">
        <v>43403</v>
      </c>
      <c r="F736" s="46">
        <v>4000</v>
      </c>
    </row>
    <row r="737" spans="1:6">
      <c r="A737" s="488" t="s">
        <v>1838</v>
      </c>
      <c r="B737" s="488" t="s">
        <v>1839</v>
      </c>
      <c r="C737" s="757" t="s">
        <v>2624</v>
      </c>
      <c r="D737" s="488" t="s">
        <v>2468</v>
      </c>
      <c r="E737" s="101">
        <v>43403</v>
      </c>
      <c r="F737" s="46">
        <v>1417.37</v>
      </c>
    </row>
    <row r="738" spans="1:6">
      <c r="A738" s="488" t="s">
        <v>344</v>
      </c>
      <c r="B738" s="488" t="s">
        <v>345</v>
      </c>
      <c r="C738" s="757" t="s">
        <v>2112</v>
      </c>
      <c r="D738" s="488" t="s">
        <v>2498</v>
      </c>
      <c r="E738" s="101">
        <v>43403</v>
      </c>
      <c r="F738" s="46">
        <v>1500</v>
      </c>
    </row>
    <row r="739" spans="1:6">
      <c r="A739" s="488" t="s">
        <v>493</v>
      </c>
      <c r="B739" s="488" t="s">
        <v>494</v>
      </c>
      <c r="C739" s="757" t="s">
        <v>2113</v>
      </c>
      <c r="D739" s="488" t="s">
        <v>2472</v>
      </c>
      <c r="E739" s="101">
        <v>43403</v>
      </c>
      <c r="F739" s="46">
        <v>1500</v>
      </c>
    </row>
    <row r="740" spans="1:6">
      <c r="A740" s="488" t="s">
        <v>2625</v>
      </c>
      <c r="B740" s="488" t="s">
        <v>2626</v>
      </c>
      <c r="C740" s="757" t="s">
        <v>2627</v>
      </c>
      <c r="D740" s="488" t="s">
        <v>103</v>
      </c>
      <c r="E740" s="101">
        <v>43403</v>
      </c>
      <c r="F740" s="46">
        <v>596.37</v>
      </c>
    </row>
    <row r="741" spans="1:6">
      <c r="A741" s="488" t="s">
        <v>1445</v>
      </c>
      <c r="B741" s="488" t="s">
        <v>1446</v>
      </c>
      <c r="C741" s="757" t="s">
        <v>2628</v>
      </c>
      <c r="D741" s="488" t="s">
        <v>2493</v>
      </c>
      <c r="E741" s="101">
        <v>43403</v>
      </c>
      <c r="F741" s="46">
        <v>940.05</v>
      </c>
    </row>
    <row r="742" spans="1:6">
      <c r="A742" s="488" t="s">
        <v>726</v>
      </c>
      <c r="B742" s="488" t="s">
        <v>727</v>
      </c>
      <c r="C742" s="757" t="s">
        <v>2114</v>
      </c>
      <c r="D742" s="488" t="s">
        <v>2466</v>
      </c>
      <c r="E742" s="101">
        <v>43403</v>
      </c>
      <c r="F742" s="46">
        <v>1856.53</v>
      </c>
    </row>
    <row r="743" spans="1:6">
      <c r="A743" s="488" t="s">
        <v>863</v>
      </c>
      <c r="B743" s="488" t="s">
        <v>864</v>
      </c>
      <c r="C743" s="757" t="s">
        <v>2115</v>
      </c>
      <c r="D743" s="488" t="s">
        <v>2466</v>
      </c>
      <c r="E743" s="101">
        <v>43403</v>
      </c>
      <c r="F743" s="46">
        <v>1600</v>
      </c>
    </row>
    <row r="744" spans="1:6">
      <c r="A744" s="488" t="s">
        <v>577</v>
      </c>
      <c r="B744" s="488" t="s">
        <v>578</v>
      </c>
      <c r="C744" s="757" t="s">
        <v>2629</v>
      </c>
      <c r="D744" s="488" t="s">
        <v>2467</v>
      </c>
      <c r="E744" s="101">
        <v>43403</v>
      </c>
      <c r="F744" s="46">
        <v>1697.88</v>
      </c>
    </row>
    <row r="745" spans="1:6">
      <c r="A745" s="488" t="s">
        <v>453</v>
      </c>
      <c r="B745" s="488" t="s">
        <v>454</v>
      </c>
      <c r="C745" s="757" t="s">
        <v>2116</v>
      </c>
      <c r="D745" s="488" t="s">
        <v>2467</v>
      </c>
      <c r="E745" s="101">
        <v>43403</v>
      </c>
      <c r="F745" s="46">
        <v>588.89</v>
      </c>
    </row>
    <row r="746" spans="1:6">
      <c r="A746" s="488" t="s">
        <v>2550</v>
      </c>
      <c r="B746" s="488" t="s">
        <v>1436</v>
      </c>
      <c r="C746" s="757" t="s">
        <v>2630</v>
      </c>
      <c r="D746" s="488" t="s">
        <v>2486</v>
      </c>
      <c r="E746" s="101">
        <v>43403</v>
      </c>
      <c r="F746" s="46">
        <v>850</v>
      </c>
    </row>
    <row r="747" spans="1:6">
      <c r="A747" s="488" t="s">
        <v>865</v>
      </c>
      <c r="B747" s="488" t="s">
        <v>866</v>
      </c>
      <c r="C747" s="757" t="s">
        <v>2117</v>
      </c>
      <c r="D747" s="488" t="s">
        <v>2467</v>
      </c>
      <c r="E747" s="101">
        <v>43403</v>
      </c>
      <c r="F747" s="46">
        <v>2581.1799999999998</v>
      </c>
    </row>
    <row r="748" spans="1:6">
      <c r="A748" s="488" t="s">
        <v>865</v>
      </c>
      <c r="B748" s="488" t="s">
        <v>866</v>
      </c>
      <c r="C748" s="757" t="s">
        <v>2631</v>
      </c>
      <c r="D748" s="488" t="s">
        <v>2467</v>
      </c>
      <c r="E748" s="101">
        <v>43403</v>
      </c>
      <c r="F748" s="46">
        <v>2218.11</v>
      </c>
    </row>
    <row r="749" spans="1:6">
      <c r="A749" s="488" t="s">
        <v>728</v>
      </c>
      <c r="B749" s="488" t="s">
        <v>729</v>
      </c>
      <c r="C749" s="757" t="s">
        <v>2632</v>
      </c>
      <c r="D749" s="488" t="s">
        <v>2478</v>
      </c>
      <c r="E749" s="101">
        <v>43403</v>
      </c>
      <c r="F749" s="46">
        <v>2500</v>
      </c>
    </row>
    <row r="750" spans="1:6">
      <c r="A750" s="488" t="s">
        <v>2127</v>
      </c>
      <c r="B750" s="488" t="s">
        <v>428</v>
      </c>
      <c r="C750" s="757" t="s">
        <v>2128</v>
      </c>
      <c r="D750" s="488" t="s">
        <v>2499</v>
      </c>
      <c r="E750" s="101">
        <v>43403</v>
      </c>
      <c r="F750" s="46">
        <v>3571.76</v>
      </c>
    </row>
    <row r="751" spans="1:6">
      <c r="A751" s="488" t="s">
        <v>393</v>
      </c>
      <c r="B751" s="488" t="s">
        <v>394</v>
      </c>
      <c r="C751" s="757" t="s">
        <v>2633</v>
      </c>
      <c r="D751" s="488" t="s">
        <v>2468</v>
      </c>
      <c r="E751" s="101">
        <v>43403</v>
      </c>
      <c r="F751" s="46">
        <v>2000</v>
      </c>
    </row>
    <row r="752" spans="1:6">
      <c r="A752" s="488" t="s">
        <v>585</v>
      </c>
      <c r="B752" s="488" t="s">
        <v>586</v>
      </c>
      <c r="C752" s="757" t="s">
        <v>2126</v>
      </c>
      <c r="D752" s="488" t="s">
        <v>2476</v>
      </c>
      <c r="E752" s="101">
        <v>43403</v>
      </c>
      <c r="F752" s="46">
        <v>3800.22</v>
      </c>
    </row>
    <row r="753" spans="1:6">
      <c r="A753" s="488" t="s">
        <v>2634</v>
      </c>
      <c r="B753" s="488" t="s">
        <v>588</v>
      </c>
      <c r="C753" s="757" t="s">
        <v>2635</v>
      </c>
      <c r="D753" s="488" t="s">
        <v>2511</v>
      </c>
      <c r="E753" s="101">
        <v>43403</v>
      </c>
      <c r="F753" s="46">
        <v>1650</v>
      </c>
    </row>
    <row r="754" spans="1:6">
      <c r="A754" s="488" t="s">
        <v>397</v>
      </c>
      <c r="B754" s="488" t="s">
        <v>398</v>
      </c>
      <c r="C754" s="757" t="s">
        <v>2636</v>
      </c>
      <c r="D754" s="488" t="s">
        <v>2493</v>
      </c>
      <c r="E754" s="101">
        <v>43404</v>
      </c>
      <c r="F754" s="46">
        <v>481.2</v>
      </c>
    </row>
    <row r="755" spans="1:6">
      <c r="A755" s="488" t="s">
        <v>664</v>
      </c>
      <c r="B755" s="488" t="s">
        <v>665</v>
      </c>
      <c r="C755" s="757" t="s">
        <v>2637</v>
      </c>
      <c r="D755" s="488" t="s">
        <v>2468</v>
      </c>
      <c r="E755" s="101">
        <v>43404</v>
      </c>
      <c r="F755" s="46">
        <v>721.29</v>
      </c>
    </row>
    <row r="756" spans="1:6">
      <c r="A756" s="488" t="s">
        <v>2638</v>
      </c>
      <c r="B756" s="488" t="s">
        <v>2639</v>
      </c>
      <c r="C756" s="757" t="s">
        <v>2640</v>
      </c>
      <c r="D756" s="488" t="s">
        <v>103</v>
      </c>
      <c r="E756" s="101">
        <v>43404</v>
      </c>
      <c r="F756" s="46">
        <v>998.87</v>
      </c>
    </row>
    <row r="757" spans="1:6">
      <c r="A757" s="488" t="s">
        <v>894</v>
      </c>
      <c r="B757" s="488" t="s">
        <v>349</v>
      </c>
      <c r="C757" s="757" t="s">
        <v>2139</v>
      </c>
      <c r="D757" s="488" t="s">
        <v>2511</v>
      </c>
      <c r="E757" s="101">
        <v>43404</v>
      </c>
      <c r="F757" s="46">
        <v>771.69</v>
      </c>
    </row>
    <row r="758" spans="1:6">
      <c r="A758" s="488" t="s">
        <v>350</v>
      </c>
      <c r="B758" s="488" t="s">
        <v>351</v>
      </c>
      <c r="C758" s="757" t="s">
        <v>2140</v>
      </c>
      <c r="D758" s="488" t="s">
        <v>2469</v>
      </c>
      <c r="E758" s="101">
        <v>43404</v>
      </c>
      <c r="F758" s="46">
        <v>987.16</v>
      </c>
    </row>
    <row r="759" spans="1:6">
      <c r="A759" s="488" t="s">
        <v>401</v>
      </c>
      <c r="B759" s="488" t="s">
        <v>402</v>
      </c>
      <c r="C759" s="757" t="s">
        <v>2641</v>
      </c>
      <c r="D759" s="488" t="s">
        <v>2468</v>
      </c>
      <c r="E759" s="101">
        <v>43404</v>
      </c>
      <c r="F759" s="46">
        <v>3907.57</v>
      </c>
    </row>
    <row r="760" spans="1:6">
      <c r="A760" s="488" t="s">
        <v>666</v>
      </c>
      <c r="B760" s="488" t="s">
        <v>667</v>
      </c>
      <c r="C760" s="757" t="s">
        <v>2178</v>
      </c>
      <c r="D760" s="488" t="s">
        <v>2463</v>
      </c>
      <c r="E760" s="101">
        <v>43404</v>
      </c>
      <c r="F760" s="46">
        <v>8436.91</v>
      </c>
    </row>
    <row r="761" spans="1:6">
      <c r="A761" s="488" t="s">
        <v>919</v>
      </c>
      <c r="B761" s="488" t="s">
        <v>768</v>
      </c>
      <c r="C761" s="757" t="s">
        <v>2141</v>
      </c>
      <c r="D761" s="488" t="s">
        <v>2463</v>
      </c>
      <c r="E761" s="101">
        <v>43404</v>
      </c>
      <c r="F761" s="46">
        <v>1384.15</v>
      </c>
    </row>
    <row r="762" spans="1:6">
      <c r="A762" s="488" t="s">
        <v>342</v>
      </c>
      <c r="B762" s="488" t="s">
        <v>343</v>
      </c>
      <c r="C762" s="757" t="s">
        <v>2179</v>
      </c>
      <c r="D762" s="488" t="s">
        <v>2468</v>
      </c>
      <c r="E762" s="101">
        <v>43404</v>
      </c>
      <c r="F762" s="46">
        <v>1804.7</v>
      </c>
    </row>
    <row r="763" spans="1:6">
      <c r="A763" s="488" t="s">
        <v>857</v>
      </c>
      <c r="B763" s="488" t="s">
        <v>858</v>
      </c>
      <c r="C763" s="757" t="s">
        <v>2142</v>
      </c>
      <c r="D763" s="488" t="s">
        <v>2472</v>
      </c>
      <c r="E763" s="101">
        <v>43404</v>
      </c>
      <c r="F763" s="46">
        <v>1860</v>
      </c>
    </row>
    <row r="764" spans="1:6">
      <c r="A764" s="488" t="s">
        <v>569</v>
      </c>
      <c r="B764" s="488" t="s">
        <v>570</v>
      </c>
      <c r="C764" s="757" t="s">
        <v>2180</v>
      </c>
      <c r="D764" s="488" t="s">
        <v>2468</v>
      </c>
      <c r="E764" s="101">
        <v>43404</v>
      </c>
      <c r="F764" s="46">
        <v>6484.75</v>
      </c>
    </row>
    <row r="765" spans="1:6">
      <c r="A765" s="488" t="s">
        <v>596</v>
      </c>
      <c r="B765" s="488" t="s">
        <v>597</v>
      </c>
      <c r="C765" s="757" t="s">
        <v>2175</v>
      </c>
      <c r="D765" s="488" t="s">
        <v>2478</v>
      </c>
      <c r="E765" s="101">
        <v>43404</v>
      </c>
      <c r="F765" s="46">
        <v>3854.56</v>
      </c>
    </row>
    <row r="766" spans="1:6">
      <c r="A766" s="488" t="s">
        <v>403</v>
      </c>
      <c r="B766" s="488" t="s">
        <v>404</v>
      </c>
      <c r="C766" s="757" t="s">
        <v>2642</v>
      </c>
      <c r="D766" s="488" t="s">
        <v>2478</v>
      </c>
      <c r="E766" s="101">
        <v>43404</v>
      </c>
      <c r="F766" s="46">
        <v>700.84</v>
      </c>
    </row>
    <row r="767" spans="1:6">
      <c r="A767" s="488" t="s">
        <v>407</v>
      </c>
      <c r="B767" s="488" t="s">
        <v>408</v>
      </c>
      <c r="C767" s="757" t="s">
        <v>2176</v>
      </c>
      <c r="D767" s="488" t="s">
        <v>2472</v>
      </c>
      <c r="E767" s="101">
        <v>43404</v>
      </c>
      <c r="F767" s="46">
        <v>2618</v>
      </c>
    </row>
    <row r="768" spans="1:6">
      <c r="A768" s="488" t="s">
        <v>409</v>
      </c>
      <c r="B768" s="488" t="s">
        <v>410</v>
      </c>
      <c r="C768" s="757" t="s">
        <v>2177</v>
      </c>
      <c r="D768" s="488" t="s">
        <v>2468</v>
      </c>
      <c r="E768" s="101">
        <v>43404</v>
      </c>
      <c r="F768" s="46">
        <v>895</v>
      </c>
    </row>
    <row r="769" spans="1:6">
      <c r="A769" s="488" t="s">
        <v>799</v>
      </c>
      <c r="B769" s="488" t="s">
        <v>800</v>
      </c>
      <c r="C769" s="757" t="s">
        <v>2143</v>
      </c>
      <c r="D769" s="488" t="s">
        <v>2464</v>
      </c>
      <c r="E769" s="101">
        <v>43404</v>
      </c>
      <c r="F769" s="46">
        <v>792</v>
      </c>
    </row>
    <row r="770" spans="1:6">
      <c r="A770" s="488" t="s">
        <v>605</v>
      </c>
      <c r="B770" s="488" t="s">
        <v>606</v>
      </c>
      <c r="C770" s="757" t="s">
        <v>2144</v>
      </c>
      <c r="D770" s="488" t="s">
        <v>2487</v>
      </c>
      <c r="E770" s="101">
        <v>43404</v>
      </c>
      <c r="F770" s="46">
        <v>5840.26</v>
      </c>
    </row>
    <row r="771" spans="1:6">
      <c r="A771" s="488" t="s">
        <v>609</v>
      </c>
      <c r="B771" s="488" t="s">
        <v>610</v>
      </c>
      <c r="C771" s="757" t="s">
        <v>2643</v>
      </c>
      <c r="D771" s="488" t="s">
        <v>2522</v>
      </c>
      <c r="E771" s="101">
        <v>43404</v>
      </c>
      <c r="F771" s="46">
        <v>1184.8</v>
      </c>
    </row>
    <row r="772" spans="1:6">
      <c r="A772" s="488" t="s">
        <v>804</v>
      </c>
      <c r="B772" s="488" t="s">
        <v>805</v>
      </c>
      <c r="C772" s="757" t="s">
        <v>2163</v>
      </c>
      <c r="D772" s="488" t="s">
        <v>2471</v>
      </c>
      <c r="E772" s="101">
        <v>43404</v>
      </c>
      <c r="F772" s="46">
        <v>1486.94</v>
      </c>
    </row>
    <row r="773" spans="1:6">
      <c r="A773" s="488" t="s">
        <v>2167</v>
      </c>
      <c r="B773" s="488" t="s">
        <v>612</v>
      </c>
      <c r="C773" s="757" t="s">
        <v>2168</v>
      </c>
      <c r="D773" s="488" t="s">
        <v>2465</v>
      </c>
      <c r="E773" s="101">
        <v>43404</v>
      </c>
      <c r="F773" s="46">
        <v>1818.88</v>
      </c>
    </row>
    <row r="774" spans="1:6">
      <c r="A774" s="488" t="s">
        <v>411</v>
      </c>
      <c r="B774" s="488" t="s">
        <v>412</v>
      </c>
      <c r="C774" s="757" t="s">
        <v>2145</v>
      </c>
      <c r="D774" s="488" t="s">
        <v>2465</v>
      </c>
      <c r="E774" s="101">
        <v>43404</v>
      </c>
      <c r="F774" s="46">
        <v>415</v>
      </c>
    </row>
    <row r="775" spans="1:6">
      <c r="A775" s="488" t="s">
        <v>513</v>
      </c>
      <c r="B775" s="488" t="s">
        <v>514</v>
      </c>
      <c r="C775" s="757" t="s">
        <v>2644</v>
      </c>
      <c r="D775" s="488" t="s">
        <v>2487</v>
      </c>
      <c r="E775" s="101">
        <v>43404</v>
      </c>
      <c r="F775" s="46">
        <v>1500</v>
      </c>
    </row>
    <row r="776" spans="1:6">
      <c r="A776" s="488" t="s">
        <v>809</v>
      </c>
      <c r="B776" s="488" t="s">
        <v>810</v>
      </c>
      <c r="C776" s="757" t="s">
        <v>2645</v>
      </c>
      <c r="D776" s="488" t="s">
        <v>2462</v>
      </c>
      <c r="E776" s="101">
        <v>43404</v>
      </c>
      <c r="F776" s="46">
        <v>2167.4299999999998</v>
      </c>
    </row>
    <row r="777" spans="1:6">
      <c r="A777" s="488" t="s">
        <v>814</v>
      </c>
      <c r="B777" s="488" t="s">
        <v>615</v>
      </c>
      <c r="C777" s="757" t="s">
        <v>2146</v>
      </c>
      <c r="D777" s="488" t="s">
        <v>2470</v>
      </c>
      <c r="E777" s="101">
        <v>43404</v>
      </c>
      <c r="F777" s="46">
        <v>147.57</v>
      </c>
    </row>
    <row r="778" spans="1:6">
      <c r="A778" s="488" t="s">
        <v>368</v>
      </c>
      <c r="B778" s="488" t="s">
        <v>369</v>
      </c>
      <c r="C778" s="757" t="s">
        <v>2147</v>
      </c>
      <c r="D778" s="488" t="s">
        <v>2522</v>
      </c>
      <c r="E778" s="101">
        <v>43404</v>
      </c>
      <c r="F778" s="46">
        <v>1457.29</v>
      </c>
    </row>
    <row r="779" spans="1:6">
      <c r="A779" s="488" t="s">
        <v>816</v>
      </c>
      <c r="B779" s="488" t="s">
        <v>617</v>
      </c>
      <c r="C779" s="757" t="s">
        <v>2646</v>
      </c>
      <c r="D779" s="488" t="s">
        <v>2506</v>
      </c>
      <c r="E779" s="101">
        <v>43404</v>
      </c>
      <c r="F779" s="46">
        <v>1434.64</v>
      </c>
    </row>
    <row r="780" spans="1:6">
      <c r="A780" s="488" t="s">
        <v>622</v>
      </c>
      <c r="B780" s="488" t="s">
        <v>623</v>
      </c>
      <c r="C780" s="757" t="s">
        <v>2647</v>
      </c>
      <c r="D780" s="488" t="s">
        <v>2487</v>
      </c>
      <c r="E780" s="101">
        <v>43404</v>
      </c>
      <c r="F780" s="46">
        <v>460.42</v>
      </c>
    </row>
    <row r="781" spans="1:6">
      <c r="A781" s="488" t="s">
        <v>2648</v>
      </c>
      <c r="B781" s="488" t="s">
        <v>535</v>
      </c>
      <c r="C781" s="757" t="s">
        <v>2649</v>
      </c>
      <c r="D781" s="488" t="s">
        <v>2525</v>
      </c>
      <c r="E781" s="101">
        <v>43404</v>
      </c>
      <c r="F781" s="46">
        <v>1571.43</v>
      </c>
    </row>
    <row r="782" spans="1:6">
      <c r="A782" s="488" t="s">
        <v>720</v>
      </c>
      <c r="B782" s="488" t="s">
        <v>629</v>
      </c>
      <c r="C782" s="757" t="s">
        <v>2650</v>
      </c>
      <c r="D782" s="488" t="s">
        <v>2489</v>
      </c>
      <c r="E782" s="101">
        <v>43404</v>
      </c>
      <c r="F782" s="46">
        <v>2854.78</v>
      </c>
    </row>
    <row r="783" spans="1:6">
      <c r="A783" s="488" t="s">
        <v>630</v>
      </c>
      <c r="B783" s="488" t="s">
        <v>631</v>
      </c>
      <c r="C783" s="757" t="s">
        <v>2148</v>
      </c>
      <c r="D783" s="488" t="s">
        <v>2463</v>
      </c>
      <c r="E783" s="101">
        <v>43404</v>
      </c>
      <c r="F783" s="46">
        <v>2852.36</v>
      </c>
    </row>
    <row r="784" spans="1:6">
      <c r="A784" s="488" t="s">
        <v>373</v>
      </c>
      <c r="B784" s="488" t="s">
        <v>374</v>
      </c>
      <c r="C784" s="757" t="s">
        <v>2149</v>
      </c>
      <c r="D784" s="488" t="s">
        <v>2471</v>
      </c>
      <c r="E784" s="101">
        <v>43404</v>
      </c>
      <c r="F784" s="46">
        <v>1175</v>
      </c>
    </row>
    <row r="785" spans="1:6">
      <c r="A785" s="488" t="s">
        <v>2576</v>
      </c>
      <c r="B785" s="488" t="s">
        <v>635</v>
      </c>
      <c r="C785" s="757" t="s">
        <v>2651</v>
      </c>
      <c r="D785" s="488" t="s">
        <v>2464</v>
      </c>
      <c r="E785" s="101">
        <v>43404</v>
      </c>
      <c r="F785" s="46">
        <v>774.82</v>
      </c>
    </row>
    <row r="786" spans="1:6">
      <c r="A786" s="488" t="s">
        <v>788</v>
      </c>
      <c r="B786" s="488" t="s">
        <v>474</v>
      </c>
      <c r="C786" s="757" t="s">
        <v>2150</v>
      </c>
      <c r="D786" s="488" t="s">
        <v>2465</v>
      </c>
      <c r="E786" s="101">
        <v>43404</v>
      </c>
      <c r="F786" s="46">
        <v>29219.13</v>
      </c>
    </row>
    <row r="787" spans="1:6">
      <c r="A787" s="488" t="s">
        <v>636</v>
      </c>
      <c r="B787" s="488" t="s">
        <v>637</v>
      </c>
      <c r="C787" s="757" t="s">
        <v>2164</v>
      </c>
      <c r="D787" s="488" t="s">
        <v>2465</v>
      </c>
      <c r="E787" s="101">
        <v>43404</v>
      </c>
      <c r="F787" s="46">
        <v>968.87</v>
      </c>
    </row>
    <row r="788" spans="1:6">
      <c r="A788" s="488" t="s">
        <v>2165</v>
      </c>
      <c r="B788" s="488" t="s">
        <v>838</v>
      </c>
      <c r="C788" s="757" t="s">
        <v>2166</v>
      </c>
      <c r="D788" s="488" t="s">
        <v>2465</v>
      </c>
      <c r="E788" s="101">
        <v>43404</v>
      </c>
      <c r="F788" s="46">
        <v>287.52</v>
      </c>
    </row>
    <row r="789" spans="1:6">
      <c r="A789" s="488" t="s">
        <v>2161</v>
      </c>
      <c r="B789" s="488" t="s">
        <v>2652</v>
      </c>
      <c r="C789" s="757" t="s">
        <v>2162</v>
      </c>
      <c r="D789" s="488" t="s">
        <v>2540</v>
      </c>
      <c r="E789" s="101">
        <v>43404</v>
      </c>
      <c r="F789" s="46">
        <v>4533.7700000000004</v>
      </c>
    </row>
    <row r="790" spans="1:6">
      <c r="A790" s="488" t="s">
        <v>2653</v>
      </c>
      <c r="B790" s="488" t="s">
        <v>2654</v>
      </c>
      <c r="C790" s="757" t="s">
        <v>2655</v>
      </c>
      <c r="D790" s="488" t="s">
        <v>2470</v>
      </c>
      <c r="E790" s="101">
        <v>43404</v>
      </c>
      <c r="F790" s="46">
        <v>557.23</v>
      </c>
    </row>
    <row r="791" spans="1:6">
      <c r="A791" s="488" t="s">
        <v>847</v>
      </c>
      <c r="B791" s="488" t="s">
        <v>848</v>
      </c>
      <c r="C791" s="757" t="s">
        <v>2656</v>
      </c>
      <c r="D791" s="488" t="s">
        <v>2465</v>
      </c>
      <c r="E791" s="101">
        <v>43404</v>
      </c>
      <c r="F791" s="46">
        <v>2517.9899999999998</v>
      </c>
    </row>
    <row r="792" spans="1:6">
      <c r="A792" s="488" t="s">
        <v>917</v>
      </c>
      <c r="B792" s="488" t="s">
        <v>643</v>
      </c>
      <c r="C792" s="757" t="s">
        <v>2151</v>
      </c>
      <c r="D792" s="488" t="s">
        <v>2487</v>
      </c>
      <c r="E792" s="101">
        <v>43404</v>
      </c>
      <c r="F792" s="46">
        <v>404.55</v>
      </c>
    </row>
    <row r="793" spans="1:6">
      <c r="A793" s="488" t="s">
        <v>340</v>
      </c>
      <c r="B793" s="488" t="s">
        <v>341</v>
      </c>
      <c r="C793" s="757" t="s">
        <v>2171</v>
      </c>
      <c r="D793" s="488" t="s">
        <v>2468</v>
      </c>
      <c r="E793" s="101">
        <v>43404</v>
      </c>
      <c r="F793" s="46">
        <v>666.66</v>
      </c>
    </row>
    <row r="794" spans="1:6">
      <c r="A794" s="488" t="s">
        <v>486</v>
      </c>
      <c r="B794" s="488" t="s">
        <v>487</v>
      </c>
      <c r="C794" s="757" t="s">
        <v>2152</v>
      </c>
      <c r="D794" s="488" t="s">
        <v>103</v>
      </c>
      <c r="E794" s="101">
        <v>43404</v>
      </c>
      <c r="F794" s="46">
        <v>2327.92</v>
      </c>
    </row>
    <row r="795" spans="1:6">
      <c r="A795" s="488" t="s">
        <v>644</v>
      </c>
      <c r="B795" s="488" t="s">
        <v>645</v>
      </c>
      <c r="C795" s="757" t="s">
        <v>2172</v>
      </c>
      <c r="D795" s="488" t="s">
        <v>2468</v>
      </c>
      <c r="E795" s="101">
        <v>43404</v>
      </c>
      <c r="F795" s="46">
        <v>4580.46</v>
      </c>
    </row>
    <row r="796" spans="1:6">
      <c r="A796" s="488" t="s">
        <v>646</v>
      </c>
      <c r="B796" s="488" t="s">
        <v>647</v>
      </c>
      <c r="C796" s="757" t="s">
        <v>2153</v>
      </c>
      <c r="D796" s="488" t="s">
        <v>103</v>
      </c>
      <c r="E796" s="101">
        <v>43404</v>
      </c>
      <c r="F796" s="46">
        <v>3215.94</v>
      </c>
    </row>
    <row r="797" spans="1:6">
      <c r="A797" s="488" t="s">
        <v>918</v>
      </c>
      <c r="B797" s="488" t="s">
        <v>649</v>
      </c>
      <c r="C797" s="757" t="s">
        <v>2154</v>
      </c>
      <c r="D797" s="488" t="s">
        <v>2470</v>
      </c>
      <c r="E797" s="101">
        <v>43404</v>
      </c>
      <c r="F797" s="46">
        <v>957.39</v>
      </c>
    </row>
    <row r="798" spans="1:6">
      <c r="A798" s="488" t="s">
        <v>758</v>
      </c>
      <c r="B798" s="488" t="s">
        <v>759</v>
      </c>
      <c r="C798" s="757" t="s">
        <v>2155</v>
      </c>
      <c r="D798" s="488" t="s">
        <v>2468</v>
      </c>
      <c r="E798" s="101">
        <v>43404</v>
      </c>
      <c r="F798" s="46">
        <v>3307.81</v>
      </c>
    </row>
    <row r="799" spans="1:6">
      <c r="A799" s="488" t="s">
        <v>422</v>
      </c>
      <c r="B799" s="488" t="s">
        <v>423</v>
      </c>
      <c r="C799" s="757" t="s">
        <v>2169</v>
      </c>
      <c r="D799" s="488" t="s">
        <v>2468</v>
      </c>
      <c r="E799" s="101">
        <v>43404</v>
      </c>
      <c r="F799" s="46">
        <v>4353.2700000000004</v>
      </c>
    </row>
    <row r="800" spans="1:6">
      <c r="A800" s="488" t="s">
        <v>650</v>
      </c>
      <c r="B800" s="488" t="s">
        <v>651</v>
      </c>
      <c r="C800" s="757" t="s">
        <v>2170</v>
      </c>
      <c r="D800" s="488" t="s">
        <v>2476</v>
      </c>
      <c r="E800" s="101">
        <v>43404</v>
      </c>
      <c r="F800" s="46">
        <v>1245.53</v>
      </c>
    </row>
    <row r="801" spans="1:6">
      <c r="A801" s="488" t="s">
        <v>444</v>
      </c>
      <c r="B801" s="488" t="s">
        <v>445</v>
      </c>
      <c r="C801" s="757" t="s">
        <v>2156</v>
      </c>
      <c r="D801" s="488" t="s">
        <v>2467</v>
      </c>
      <c r="E801" s="101">
        <v>43404</v>
      </c>
      <c r="F801" s="46">
        <v>2400</v>
      </c>
    </row>
    <row r="802" spans="1:6">
      <c r="A802" s="488" t="s">
        <v>475</v>
      </c>
      <c r="B802" s="488" t="s">
        <v>476</v>
      </c>
      <c r="C802" s="757" t="s">
        <v>2157</v>
      </c>
      <c r="D802" s="488" t="s">
        <v>103</v>
      </c>
      <c r="E802" s="101">
        <v>43404</v>
      </c>
      <c r="F802" s="46">
        <v>2600</v>
      </c>
    </row>
    <row r="803" spans="1:6">
      <c r="A803" s="488" t="s">
        <v>655</v>
      </c>
      <c r="B803" s="488" t="s">
        <v>656</v>
      </c>
      <c r="C803" s="757" t="s">
        <v>2657</v>
      </c>
      <c r="D803" s="488" t="s">
        <v>2540</v>
      </c>
      <c r="E803" s="101">
        <v>43404</v>
      </c>
      <c r="F803" s="46">
        <v>1184.29</v>
      </c>
    </row>
    <row r="804" spans="1:6">
      <c r="A804" s="488" t="s">
        <v>778</v>
      </c>
      <c r="B804" s="488" t="s">
        <v>779</v>
      </c>
      <c r="C804" s="757" t="s">
        <v>2158</v>
      </c>
      <c r="D804" s="488" t="s">
        <v>2476</v>
      </c>
      <c r="E804" s="101">
        <v>43404</v>
      </c>
      <c r="F804" s="46">
        <v>1820.12</v>
      </c>
    </row>
    <row r="805" spans="1:6">
      <c r="A805" s="488" t="s">
        <v>431</v>
      </c>
      <c r="B805" s="488" t="s">
        <v>432</v>
      </c>
      <c r="C805" s="757" t="s">
        <v>2173</v>
      </c>
      <c r="D805" s="488" t="s">
        <v>2472</v>
      </c>
      <c r="E805" s="101">
        <v>43404</v>
      </c>
      <c r="F805" s="46">
        <v>393.4</v>
      </c>
    </row>
    <row r="806" spans="1:6">
      <c r="A806" s="488" t="s">
        <v>431</v>
      </c>
      <c r="B806" s="488" t="s">
        <v>432</v>
      </c>
      <c r="C806" s="757" t="s">
        <v>2159</v>
      </c>
      <c r="D806" s="488" t="s">
        <v>2472</v>
      </c>
      <c r="E806" s="101">
        <v>43404</v>
      </c>
      <c r="F806" s="46">
        <v>405.64</v>
      </c>
    </row>
    <row r="807" spans="1:6">
      <c r="A807" s="488" t="s">
        <v>658</v>
      </c>
      <c r="B807" s="488" t="s">
        <v>659</v>
      </c>
      <c r="C807" s="757" t="s">
        <v>2174</v>
      </c>
      <c r="D807" s="488" t="s">
        <v>2467</v>
      </c>
      <c r="E807" s="101">
        <v>43404</v>
      </c>
      <c r="F807" s="46">
        <v>249.93</v>
      </c>
    </row>
    <row r="808" spans="1:6">
      <c r="A808" s="488" t="s">
        <v>457</v>
      </c>
      <c r="B808" s="488" t="s">
        <v>458</v>
      </c>
      <c r="C808" s="757" t="s">
        <v>2160</v>
      </c>
      <c r="D808" s="488" t="s">
        <v>2472</v>
      </c>
      <c r="E808" s="101">
        <v>43404</v>
      </c>
      <c r="F808" s="46">
        <v>2650</v>
      </c>
    </row>
    <row r="809" spans="1:6">
      <c r="A809" s="488" t="s">
        <v>591</v>
      </c>
      <c r="B809" s="488" t="s">
        <v>592</v>
      </c>
      <c r="C809" s="757" t="s">
        <v>1575</v>
      </c>
      <c r="D809" s="488" t="s">
        <v>2467</v>
      </c>
      <c r="E809" s="101">
        <v>43404</v>
      </c>
      <c r="F809" s="46">
        <v>692.29</v>
      </c>
    </row>
    <row r="810" spans="1:6">
      <c r="A810" s="488" t="s">
        <v>2553</v>
      </c>
      <c r="B810" s="488" t="s">
        <v>2554</v>
      </c>
      <c r="C810" s="757" t="s">
        <v>2658</v>
      </c>
      <c r="D810" s="488" t="s">
        <v>2465</v>
      </c>
      <c r="E810" s="101">
        <v>43405</v>
      </c>
      <c r="F810" s="46">
        <v>300</v>
      </c>
    </row>
    <row r="811" spans="1:6">
      <c r="A811" s="488" t="s">
        <v>510</v>
      </c>
      <c r="B811" s="488" t="s">
        <v>511</v>
      </c>
      <c r="C811" s="757" t="s">
        <v>2181</v>
      </c>
      <c r="D811" s="488" t="s">
        <v>2467</v>
      </c>
      <c r="E811" s="101">
        <v>43405</v>
      </c>
      <c r="F811" s="46">
        <v>2067.88</v>
      </c>
    </row>
    <row r="812" spans="1:6">
      <c r="A812" s="488" t="s">
        <v>920</v>
      </c>
      <c r="B812" s="488" t="s">
        <v>396</v>
      </c>
      <c r="C812" s="757" t="s">
        <v>2182</v>
      </c>
      <c r="D812" s="488" t="s">
        <v>2466</v>
      </c>
      <c r="E812" s="101">
        <v>43405</v>
      </c>
      <c r="F812" s="46">
        <v>1417.04</v>
      </c>
    </row>
    <row r="813" spans="1:6">
      <c r="A813" s="488" t="s">
        <v>887</v>
      </c>
      <c r="B813" s="488" t="s">
        <v>687</v>
      </c>
      <c r="C813" s="757" t="s">
        <v>2183</v>
      </c>
      <c r="D813" s="488" t="s">
        <v>2465</v>
      </c>
      <c r="E813" s="101">
        <v>43406</v>
      </c>
      <c r="F813" s="46">
        <v>2725.65</v>
      </c>
    </row>
    <row r="814" spans="1:6">
      <c r="A814" s="488" t="s">
        <v>326</v>
      </c>
      <c r="B814" s="488" t="s">
        <v>327</v>
      </c>
      <c r="C814" s="757" t="s">
        <v>2184</v>
      </c>
      <c r="D814" s="488" t="s">
        <v>2468</v>
      </c>
      <c r="E814" s="101">
        <v>43407</v>
      </c>
      <c r="F814" s="46">
        <v>1506.8</v>
      </c>
    </row>
    <row r="815" spans="1:6">
      <c r="A815" s="488" t="s">
        <v>742</v>
      </c>
      <c r="B815" s="488" t="s">
        <v>415</v>
      </c>
      <c r="C815" s="757" t="s">
        <v>2185</v>
      </c>
      <c r="D815" s="488" t="s">
        <v>2465</v>
      </c>
      <c r="E815" s="101">
        <v>43407</v>
      </c>
      <c r="F815" s="46">
        <v>954.73</v>
      </c>
    </row>
    <row r="816" spans="1:6">
      <c r="A816" s="488" t="s">
        <v>680</v>
      </c>
      <c r="B816" s="488" t="s">
        <v>681</v>
      </c>
      <c r="C816" s="757" t="s">
        <v>2186</v>
      </c>
      <c r="D816" s="488" t="s">
        <v>2510</v>
      </c>
      <c r="E816" s="101">
        <v>43407</v>
      </c>
      <c r="F816" s="46">
        <v>3753.5</v>
      </c>
    </row>
    <row r="817" spans="1:6">
      <c r="A817" s="488" t="s">
        <v>676</v>
      </c>
      <c r="B817" s="488" t="s">
        <v>677</v>
      </c>
      <c r="C817" s="757" t="s">
        <v>2659</v>
      </c>
      <c r="D817" s="488" t="s">
        <v>2467</v>
      </c>
      <c r="E817" s="101">
        <v>43407</v>
      </c>
      <c r="F817" s="46">
        <v>385.97</v>
      </c>
    </row>
    <row r="818" spans="1:6">
      <c r="A818" s="488" t="s">
        <v>789</v>
      </c>
      <c r="B818" s="488" t="s">
        <v>504</v>
      </c>
      <c r="C818" s="757" t="s">
        <v>2660</v>
      </c>
      <c r="D818" s="488" t="s">
        <v>103</v>
      </c>
      <c r="E818" s="101">
        <v>43408</v>
      </c>
      <c r="F818" s="46">
        <v>1140.7</v>
      </c>
    </row>
    <row r="819" spans="1:6">
      <c r="A819" s="488" t="s">
        <v>732</v>
      </c>
      <c r="B819" s="488" t="s">
        <v>733</v>
      </c>
      <c r="C819" s="757" t="s">
        <v>2198</v>
      </c>
      <c r="D819" s="488" t="s">
        <v>2467</v>
      </c>
      <c r="E819" s="101">
        <v>43409</v>
      </c>
      <c r="F819" s="46">
        <v>550</v>
      </c>
    </row>
    <row r="820" spans="1:6">
      <c r="A820" s="488" t="s">
        <v>336</v>
      </c>
      <c r="B820" s="488" t="s">
        <v>337</v>
      </c>
      <c r="C820" s="757" t="s">
        <v>2187</v>
      </c>
      <c r="D820" s="488" t="s">
        <v>2467</v>
      </c>
      <c r="E820" s="101">
        <v>43409</v>
      </c>
      <c r="F820" s="46">
        <v>720</v>
      </c>
    </row>
    <row r="821" spans="1:6">
      <c r="A821" s="488" t="s">
        <v>338</v>
      </c>
      <c r="B821" s="488" t="s">
        <v>339</v>
      </c>
      <c r="C821" s="757" t="s">
        <v>2199</v>
      </c>
      <c r="D821" s="488" t="s">
        <v>2476</v>
      </c>
      <c r="E821" s="101">
        <v>43409</v>
      </c>
      <c r="F821" s="46">
        <v>1916</v>
      </c>
    </row>
    <row r="822" spans="1:6">
      <c r="A822" s="488" t="s">
        <v>322</v>
      </c>
      <c r="B822" s="488" t="s">
        <v>323</v>
      </c>
      <c r="C822" s="757" t="s">
        <v>2661</v>
      </c>
      <c r="D822" s="488" t="s">
        <v>2472</v>
      </c>
      <c r="E822" s="101">
        <v>43409</v>
      </c>
      <c r="F822" s="46">
        <v>1170.1400000000001</v>
      </c>
    </row>
    <row r="823" spans="1:6">
      <c r="A823" s="488" t="s">
        <v>409</v>
      </c>
      <c r="B823" s="488" t="s">
        <v>410</v>
      </c>
      <c r="C823" s="757" t="s">
        <v>2197</v>
      </c>
      <c r="D823" s="488" t="s">
        <v>2468</v>
      </c>
      <c r="E823" s="101">
        <v>43409</v>
      </c>
      <c r="F823" s="46">
        <v>924.06</v>
      </c>
    </row>
    <row r="824" spans="1:6">
      <c r="A824" s="488" t="s">
        <v>2662</v>
      </c>
      <c r="B824" s="488" t="s">
        <v>2663</v>
      </c>
      <c r="C824" s="757" t="s">
        <v>2664</v>
      </c>
      <c r="D824" s="488" t="s">
        <v>2487</v>
      </c>
      <c r="E824" s="101">
        <v>43409</v>
      </c>
      <c r="F824" s="46">
        <v>549.52</v>
      </c>
    </row>
    <row r="825" spans="1:6">
      <c r="A825" s="488" t="s">
        <v>921</v>
      </c>
      <c r="B825" s="488" t="s">
        <v>719</v>
      </c>
      <c r="C825" s="757" t="s">
        <v>2188</v>
      </c>
      <c r="D825" s="488" t="s">
        <v>2463</v>
      </c>
      <c r="E825" s="101">
        <v>43409</v>
      </c>
      <c r="F825" s="46">
        <v>1228.48</v>
      </c>
    </row>
    <row r="826" spans="1:6">
      <c r="A826" s="488" t="s">
        <v>528</v>
      </c>
      <c r="B826" s="488" t="s">
        <v>529</v>
      </c>
      <c r="C826" s="757" t="s">
        <v>2189</v>
      </c>
      <c r="D826" s="488" t="s">
        <v>2471</v>
      </c>
      <c r="E826" s="101">
        <v>43409</v>
      </c>
      <c r="F826" s="46">
        <v>483.79</v>
      </c>
    </row>
    <row r="827" spans="1:6">
      <c r="A827" s="488" t="s">
        <v>708</v>
      </c>
      <c r="B827" s="488" t="s">
        <v>709</v>
      </c>
      <c r="C827" s="757" t="s">
        <v>2190</v>
      </c>
      <c r="D827" s="488" t="s">
        <v>2465</v>
      </c>
      <c r="E827" s="101">
        <v>43409</v>
      </c>
      <c r="F827" s="46">
        <v>1549.14</v>
      </c>
    </row>
    <row r="828" spans="1:6">
      <c r="A828" s="488" t="s">
        <v>922</v>
      </c>
      <c r="B828" s="488" t="s">
        <v>923</v>
      </c>
      <c r="C828" s="757" t="s">
        <v>2191</v>
      </c>
      <c r="D828" s="488" t="s">
        <v>2486</v>
      </c>
      <c r="E828" s="101">
        <v>43409</v>
      </c>
      <c r="F828" s="46">
        <v>738.5</v>
      </c>
    </row>
    <row r="829" spans="1:6">
      <c r="A829" s="488" t="s">
        <v>691</v>
      </c>
      <c r="B829" s="488" t="s">
        <v>692</v>
      </c>
      <c r="C829" s="757" t="s">
        <v>2192</v>
      </c>
      <c r="D829" s="488" t="s">
        <v>2496</v>
      </c>
      <c r="E829" s="101">
        <v>43409</v>
      </c>
      <c r="F829" s="46">
        <v>3364.42</v>
      </c>
    </row>
    <row r="830" spans="1:6">
      <c r="A830" s="488" t="s">
        <v>2665</v>
      </c>
      <c r="B830" s="488" t="s">
        <v>693</v>
      </c>
      <c r="C830" s="757" t="s">
        <v>2666</v>
      </c>
      <c r="D830" s="488" t="s">
        <v>2501</v>
      </c>
      <c r="E830" s="101">
        <v>43409</v>
      </c>
      <c r="F830" s="46">
        <v>1642.15</v>
      </c>
    </row>
    <row r="831" spans="1:6">
      <c r="A831" s="488" t="s">
        <v>828</v>
      </c>
      <c r="B831" s="488" t="s">
        <v>539</v>
      </c>
      <c r="C831" s="757" t="s">
        <v>2196</v>
      </c>
      <c r="D831" s="488" t="s">
        <v>2478</v>
      </c>
      <c r="E831" s="101">
        <v>43409</v>
      </c>
      <c r="F831" s="46">
        <v>4341.72</v>
      </c>
    </row>
    <row r="832" spans="1:6">
      <c r="A832" s="488" t="s">
        <v>472</v>
      </c>
      <c r="B832" s="488" t="s">
        <v>473</v>
      </c>
      <c r="C832" s="757" t="s">
        <v>2193</v>
      </c>
      <c r="D832" s="488" t="s">
        <v>2465</v>
      </c>
      <c r="E832" s="101">
        <v>43409</v>
      </c>
      <c r="F832" s="46">
        <v>5000</v>
      </c>
    </row>
    <row r="833" spans="1:6">
      <c r="A833" s="488" t="s">
        <v>924</v>
      </c>
      <c r="B833" s="488" t="s">
        <v>715</v>
      </c>
      <c r="C833" s="757" t="s">
        <v>2194</v>
      </c>
      <c r="D833" s="488" t="s">
        <v>103</v>
      </c>
      <c r="E833" s="101">
        <v>43409</v>
      </c>
      <c r="F833" s="46">
        <v>1367.44</v>
      </c>
    </row>
    <row r="834" spans="1:6">
      <c r="A834" s="488" t="s">
        <v>882</v>
      </c>
      <c r="B834" s="488" t="s">
        <v>321</v>
      </c>
      <c r="C834" s="757" t="s">
        <v>1453</v>
      </c>
      <c r="D834" s="488" t="s">
        <v>103</v>
      </c>
      <c r="E834" s="101">
        <v>43409</v>
      </c>
      <c r="F834" s="46">
        <v>1600</v>
      </c>
    </row>
    <row r="835" spans="1:6">
      <c r="A835" s="488" t="s">
        <v>375</v>
      </c>
      <c r="B835" s="488" t="s">
        <v>376</v>
      </c>
      <c r="C835" s="757" t="s">
        <v>2667</v>
      </c>
      <c r="D835" s="488" t="s">
        <v>2487</v>
      </c>
      <c r="E835" s="101">
        <v>43409</v>
      </c>
      <c r="F835" s="46">
        <v>500</v>
      </c>
    </row>
    <row r="836" spans="1:6">
      <c r="A836" s="488" t="s">
        <v>2599</v>
      </c>
      <c r="B836" s="488" t="s">
        <v>796</v>
      </c>
      <c r="C836" s="757" t="s">
        <v>2668</v>
      </c>
      <c r="D836" s="488" t="s">
        <v>2470</v>
      </c>
      <c r="E836" s="101">
        <v>43409</v>
      </c>
      <c r="F836" s="46">
        <v>1780.51</v>
      </c>
    </row>
    <row r="837" spans="1:6">
      <c r="A837" s="488" t="s">
        <v>696</v>
      </c>
      <c r="B837" s="488" t="s">
        <v>697</v>
      </c>
      <c r="C837" s="757" t="s">
        <v>2669</v>
      </c>
      <c r="D837" s="488" t="s">
        <v>2463</v>
      </c>
      <c r="E837" s="101">
        <v>43409</v>
      </c>
      <c r="F837" s="46">
        <v>5471.8</v>
      </c>
    </row>
    <row r="838" spans="1:6">
      <c r="A838" s="488" t="s">
        <v>444</v>
      </c>
      <c r="B838" s="488" t="s">
        <v>445</v>
      </c>
      <c r="C838" s="757" t="s">
        <v>2195</v>
      </c>
      <c r="D838" s="488" t="s">
        <v>2467</v>
      </c>
      <c r="E838" s="101">
        <v>43409</v>
      </c>
      <c r="F838" s="46">
        <v>2400</v>
      </c>
    </row>
    <row r="839" spans="1:6">
      <c r="A839" s="488" t="s">
        <v>776</v>
      </c>
      <c r="B839" s="488" t="s">
        <v>777</v>
      </c>
      <c r="C839" s="757" t="s">
        <v>2670</v>
      </c>
      <c r="D839" s="488" t="s">
        <v>2468</v>
      </c>
      <c r="E839" s="101">
        <v>43409</v>
      </c>
      <c r="F839" s="46">
        <v>223.31</v>
      </c>
    </row>
    <row r="840" spans="1:6">
      <c r="A840" s="488" t="s">
        <v>393</v>
      </c>
      <c r="B840" s="488" t="s">
        <v>394</v>
      </c>
      <c r="C840" s="757" t="s">
        <v>2671</v>
      </c>
      <c r="D840" s="488" t="s">
        <v>2468</v>
      </c>
      <c r="E840" s="101">
        <v>43409</v>
      </c>
      <c r="F840" s="46">
        <v>2000</v>
      </c>
    </row>
    <row r="841" spans="1:6">
      <c r="A841" s="488" t="s">
        <v>397</v>
      </c>
      <c r="B841" s="488" t="s">
        <v>398</v>
      </c>
      <c r="C841" s="757" t="s">
        <v>2672</v>
      </c>
      <c r="D841" s="488" t="s">
        <v>2499</v>
      </c>
      <c r="E841" s="101">
        <v>43410</v>
      </c>
      <c r="F841" s="46">
        <v>481.2</v>
      </c>
    </row>
    <row r="842" spans="1:6">
      <c r="A842" s="488" t="s">
        <v>899</v>
      </c>
      <c r="B842" s="488" t="s">
        <v>900</v>
      </c>
      <c r="C842" s="757" t="s">
        <v>2673</v>
      </c>
      <c r="D842" s="488" t="s">
        <v>2465</v>
      </c>
      <c r="E842" s="101">
        <v>43410</v>
      </c>
      <c r="F842" s="46">
        <v>900</v>
      </c>
    </row>
    <row r="843" spans="1:6">
      <c r="A843" s="488" t="s">
        <v>880</v>
      </c>
      <c r="B843" s="488" t="s">
        <v>881</v>
      </c>
      <c r="C843" s="757" t="s">
        <v>2200</v>
      </c>
      <c r="D843" s="488" t="s">
        <v>2486</v>
      </c>
      <c r="E843" s="101">
        <v>43410</v>
      </c>
      <c r="F843" s="46">
        <v>472.33</v>
      </c>
    </row>
    <row r="844" spans="1:6">
      <c r="A844" s="488" t="s">
        <v>340</v>
      </c>
      <c r="B844" s="488" t="s">
        <v>341</v>
      </c>
      <c r="C844" s="757" t="s">
        <v>2201</v>
      </c>
      <c r="D844" s="488" t="s">
        <v>2468</v>
      </c>
      <c r="E844" s="101">
        <v>43410</v>
      </c>
      <c r="F844" s="46">
        <v>666.66</v>
      </c>
    </row>
    <row r="845" spans="1:6">
      <c r="A845" s="488" t="s">
        <v>512</v>
      </c>
      <c r="B845" s="488" t="s">
        <v>498</v>
      </c>
      <c r="C845" s="757" t="s">
        <v>2674</v>
      </c>
      <c r="D845" s="488" t="s">
        <v>2493</v>
      </c>
      <c r="E845" s="101">
        <v>43411</v>
      </c>
      <c r="F845" s="46">
        <v>737.33</v>
      </c>
    </row>
    <row r="846" spans="1:6">
      <c r="A846" s="488" t="s">
        <v>704</v>
      </c>
      <c r="B846" s="488" t="s">
        <v>705</v>
      </c>
      <c r="C846" s="757" t="s">
        <v>2202</v>
      </c>
      <c r="D846" s="488" t="s">
        <v>2463</v>
      </c>
      <c r="E846" s="101">
        <v>43411</v>
      </c>
      <c r="F846" s="46">
        <v>3056.19</v>
      </c>
    </row>
    <row r="847" spans="1:6">
      <c r="A847" s="488" t="s">
        <v>1829</v>
      </c>
      <c r="B847" s="488" t="s">
        <v>1830</v>
      </c>
      <c r="C847" s="757" t="s">
        <v>2083</v>
      </c>
      <c r="D847" s="488" t="s">
        <v>2467</v>
      </c>
      <c r="E847" s="101">
        <v>43412</v>
      </c>
      <c r="F847" s="46">
        <v>1202.3699999999999</v>
      </c>
    </row>
    <row r="848" spans="1:6">
      <c r="A848" s="488" t="s">
        <v>801</v>
      </c>
      <c r="B848" s="488" t="s">
        <v>604</v>
      </c>
      <c r="C848" s="757" t="s">
        <v>2203</v>
      </c>
      <c r="D848" s="488" t="s">
        <v>2511</v>
      </c>
      <c r="E848" s="101">
        <v>43412</v>
      </c>
      <c r="F848" s="46">
        <v>810.04</v>
      </c>
    </row>
    <row r="849" spans="1:6">
      <c r="A849" s="488" t="s">
        <v>925</v>
      </c>
      <c r="B849" s="488" t="s">
        <v>478</v>
      </c>
      <c r="C849" s="757" t="s">
        <v>2204</v>
      </c>
      <c r="D849" s="488" t="s">
        <v>2466</v>
      </c>
      <c r="E849" s="101">
        <v>43412</v>
      </c>
      <c r="F849" s="46">
        <v>1625.32</v>
      </c>
    </row>
    <row r="850" spans="1:6">
      <c r="A850" s="488" t="s">
        <v>742</v>
      </c>
      <c r="B850" s="488" t="s">
        <v>415</v>
      </c>
      <c r="C850" s="757" t="s">
        <v>2205</v>
      </c>
      <c r="D850" s="488" t="s">
        <v>2465</v>
      </c>
      <c r="E850" s="101">
        <v>43412</v>
      </c>
      <c r="F850" s="46">
        <v>954.73</v>
      </c>
    </row>
    <row r="851" spans="1:6">
      <c r="A851" s="488" t="s">
        <v>495</v>
      </c>
      <c r="B851" s="488" t="s">
        <v>496</v>
      </c>
      <c r="C851" s="757" t="s">
        <v>2675</v>
      </c>
      <c r="D851" s="488" t="s">
        <v>2476</v>
      </c>
      <c r="E851" s="101">
        <v>43412</v>
      </c>
      <c r="F851" s="46">
        <v>6000</v>
      </c>
    </row>
    <row r="852" spans="1:6">
      <c r="A852" s="488" t="s">
        <v>475</v>
      </c>
      <c r="B852" s="488" t="s">
        <v>476</v>
      </c>
      <c r="C852" s="757" t="s">
        <v>2206</v>
      </c>
      <c r="D852" s="488" t="s">
        <v>103</v>
      </c>
      <c r="E852" s="101">
        <v>43412</v>
      </c>
      <c r="F852" s="46">
        <v>2743.18</v>
      </c>
    </row>
    <row r="853" spans="1:6">
      <c r="A853" s="488" t="s">
        <v>466</v>
      </c>
      <c r="B853" s="488" t="s">
        <v>467</v>
      </c>
      <c r="C853" s="757" t="s">
        <v>2676</v>
      </c>
      <c r="D853" s="488" t="s">
        <v>2468</v>
      </c>
      <c r="E853" s="101">
        <v>43412</v>
      </c>
      <c r="F853" s="46">
        <v>2000</v>
      </c>
    </row>
    <row r="854" spans="1:6">
      <c r="A854" s="488" t="s">
        <v>894</v>
      </c>
      <c r="B854" s="488" t="s">
        <v>349</v>
      </c>
      <c r="C854" s="757" t="s">
        <v>2207</v>
      </c>
      <c r="D854" s="488" t="s">
        <v>2511</v>
      </c>
      <c r="E854" s="101">
        <v>43413</v>
      </c>
      <c r="F854" s="46">
        <v>771.69</v>
      </c>
    </row>
    <row r="855" spans="1:6">
      <c r="A855" s="488" t="s">
        <v>513</v>
      </c>
      <c r="B855" s="488" t="s">
        <v>514</v>
      </c>
      <c r="C855" s="757" t="s">
        <v>2677</v>
      </c>
      <c r="D855" s="488" t="s">
        <v>2487</v>
      </c>
      <c r="E855" s="101">
        <v>43413</v>
      </c>
      <c r="F855" s="46">
        <v>1500</v>
      </c>
    </row>
    <row r="856" spans="1:6">
      <c r="A856" s="488" t="s">
        <v>734</v>
      </c>
      <c r="B856" s="488" t="s">
        <v>735</v>
      </c>
      <c r="C856" s="757" t="s">
        <v>2678</v>
      </c>
      <c r="D856" s="488" t="s">
        <v>2478</v>
      </c>
      <c r="E856" s="101">
        <v>43414</v>
      </c>
      <c r="F856" s="46">
        <v>5000</v>
      </c>
    </row>
    <row r="857" spans="1:6">
      <c r="A857" s="488" t="s">
        <v>563</v>
      </c>
      <c r="B857" s="488" t="s">
        <v>492</v>
      </c>
      <c r="C857" s="757" t="s">
        <v>2208</v>
      </c>
      <c r="D857" s="488" t="s">
        <v>2468</v>
      </c>
      <c r="E857" s="101">
        <v>43414</v>
      </c>
      <c r="F857" s="46">
        <v>2700</v>
      </c>
    </row>
    <row r="858" spans="1:6">
      <c r="A858" s="488" t="s">
        <v>1691</v>
      </c>
      <c r="B858" s="488" t="s">
        <v>2520</v>
      </c>
      <c r="C858" s="757" t="s">
        <v>2223</v>
      </c>
      <c r="D858" s="488" t="s">
        <v>2472</v>
      </c>
      <c r="E858" s="101">
        <v>43414</v>
      </c>
      <c r="F858" s="46">
        <v>3000</v>
      </c>
    </row>
    <row r="859" spans="1:6">
      <c r="A859" s="488" t="s">
        <v>405</v>
      </c>
      <c r="B859" s="488" t="s">
        <v>406</v>
      </c>
      <c r="C859" s="757" t="s">
        <v>2679</v>
      </c>
      <c r="D859" s="488" t="s">
        <v>2468</v>
      </c>
      <c r="E859" s="101">
        <v>43414</v>
      </c>
      <c r="F859" s="46">
        <v>4263.6499999999996</v>
      </c>
    </row>
    <row r="860" spans="1:6">
      <c r="A860" s="488" t="s">
        <v>461</v>
      </c>
      <c r="B860" s="488" t="s">
        <v>462</v>
      </c>
      <c r="C860" s="757" t="s">
        <v>2680</v>
      </c>
      <c r="D860" s="488" t="s">
        <v>2468</v>
      </c>
      <c r="E860" s="101">
        <v>43414</v>
      </c>
      <c r="F860" s="46">
        <v>500</v>
      </c>
    </row>
    <row r="861" spans="1:6">
      <c r="A861" s="488" t="s">
        <v>523</v>
      </c>
      <c r="B861" s="488" t="s">
        <v>524</v>
      </c>
      <c r="C861" s="757" t="s">
        <v>2221</v>
      </c>
      <c r="D861" s="488" t="s">
        <v>2526</v>
      </c>
      <c r="E861" s="101">
        <v>43414</v>
      </c>
      <c r="F861" s="46">
        <v>2435.92</v>
      </c>
    </row>
    <row r="862" spans="1:6">
      <c r="A862" s="488" t="s">
        <v>926</v>
      </c>
      <c r="B862" s="488" t="s">
        <v>927</v>
      </c>
      <c r="C862" s="757" t="s">
        <v>2209</v>
      </c>
      <c r="D862" s="488" t="s">
        <v>2470</v>
      </c>
      <c r="E862" s="101">
        <v>43414</v>
      </c>
      <c r="F862" s="46">
        <v>2930</v>
      </c>
    </row>
    <row r="863" spans="1:6">
      <c r="A863" s="488" t="s">
        <v>411</v>
      </c>
      <c r="B863" s="488" t="s">
        <v>412</v>
      </c>
      <c r="C863" s="757" t="s">
        <v>2681</v>
      </c>
      <c r="D863" s="488" t="s">
        <v>2465</v>
      </c>
      <c r="E863" s="101">
        <v>43414</v>
      </c>
      <c r="F863" s="46">
        <v>445.3</v>
      </c>
    </row>
    <row r="864" spans="1:6">
      <c r="A864" s="488" t="s">
        <v>789</v>
      </c>
      <c r="B864" s="488" t="s">
        <v>504</v>
      </c>
      <c r="C864" s="757" t="s">
        <v>2682</v>
      </c>
      <c r="D864" s="488" t="s">
        <v>103</v>
      </c>
      <c r="E864" s="101">
        <v>43414</v>
      </c>
      <c r="F864" s="46">
        <v>1127.5999999999999</v>
      </c>
    </row>
    <row r="865" spans="1:6">
      <c r="A865" s="488" t="s">
        <v>528</v>
      </c>
      <c r="B865" s="488" t="s">
        <v>529</v>
      </c>
      <c r="C865" s="757" t="s">
        <v>2210</v>
      </c>
      <c r="D865" s="488" t="s">
        <v>2471</v>
      </c>
      <c r="E865" s="101">
        <v>43414</v>
      </c>
      <c r="F865" s="46">
        <v>485.65</v>
      </c>
    </row>
    <row r="866" spans="1:6">
      <c r="A866" s="488" t="s">
        <v>928</v>
      </c>
      <c r="B866" s="488" t="s">
        <v>707</v>
      </c>
      <c r="C866" s="757" t="s">
        <v>2211</v>
      </c>
      <c r="D866" s="488" t="s">
        <v>2472</v>
      </c>
      <c r="E866" s="101">
        <v>43414</v>
      </c>
      <c r="F866" s="46">
        <v>1018.74</v>
      </c>
    </row>
    <row r="867" spans="1:6">
      <c r="A867" s="488" t="s">
        <v>435</v>
      </c>
      <c r="B867" s="488" t="s">
        <v>436</v>
      </c>
      <c r="C867" s="757" t="s">
        <v>2212</v>
      </c>
      <c r="D867" s="488" t="s">
        <v>2465</v>
      </c>
      <c r="E867" s="101">
        <v>43414</v>
      </c>
      <c r="F867" s="46">
        <v>1699.94</v>
      </c>
    </row>
    <row r="868" spans="1:6">
      <c r="A868" s="488" t="s">
        <v>747</v>
      </c>
      <c r="B868" s="488" t="s">
        <v>748</v>
      </c>
      <c r="C868" s="757" t="s">
        <v>2213</v>
      </c>
      <c r="D868" s="488" t="s">
        <v>2496</v>
      </c>
      <c r="E868" s="101">
        <v>43414</v>
      </c>
      <c r="F868" s="46">
        <v>546.04999999999995</v>
      </c>
    </row>
    <row r="869" spans="1:6">
      <c r="A869" s="488" t="s">
        <v>882</v>
      </c>
      <c r="B869" s="488" t="s">
        <v>321</v>
      </c>
      <c r="C869" s="757" t="s">
        <v>2214</v>
      </c>
      <c r="D869" s="488" t="s">
        <v>103</v>
      </c>
      <c r="E869" s="101">
        <v>43414</v>
      </c>
      <c r="F869" s="46">
        <v>1600</v>
      </c>
    </row>
    <row r="870" spans="1:6">
      <c r="A870" s="488" t="s">
        <v>648</v>
      </c>
      <c r="B870" s="488" t="s">
        <v>649</v>
      </c>
      <c r="C870" s="757" t="s">
        <v>2215</v>
      </c>
      <c r="D870" s="488" t="s">
        <v>2466</v>
      </c>
      <c r="E870" s="101">
        <v>43414</v>
      </c>
      <c r="F870" s="46">
        <v>1611.49</v>
      </c>
    </row>
    <row r="871" spans="1:6">
      <c r="A871" s="488" t="s">
        <v>442</v>
      </c>
      <c r="B871" s="488" t="s">
        <v>443</v>
      </c>
      <c r="C871" s="757" t="s">
        <v>2683</v>
      </c>
      <c r="D871" s="488" t="s">
        <v>2472</v>
      </c>
      <c r="E871" s="101">
        <v>43414</v>
      </c>
      <c r="F871" s="46">
        <v>598</v>
      </c>
    </row>
    <row r="872" spans="1:6">
      <c r="A872" s="488" t="s">
        <v>721</v>
      </c>
      <c r="B872" s="488" t="s">
        <v>652</v>
      </c>
      <c r="C872" s="757" t="s">
        <v>2216</v>
      </c>
      <c r="D872" s="488" t="s">
        <v>2467</v>
      </c>
      <c r="E872" s="101">
        <v>43414</v>
      </c>
      <c r="F872" s="46">
        <v>4621.24</v>
      </c>
    </row>
    <row r="873" spans="1:6">
      <c r="A873" s="488" t="s">
        <v>559</v>
      </c>
      <c r="B873" s="488" t="s">
        <v>560</v>
      </c>
      <c r="C873" s="757" t="s">
        <v>1439</v>
      </c>
      <c r="D873" s="488" t="s">
        <v>103</v>
      </c>
      <c r="E873" s="101">
        <v>43414</v>
      </c>
      <c r="F873" s="46">
        <v>1270.03</v>
      </c>
    </row>
    <row r="874" spans="1:6">
      <c r="A874" s="488" t="s">
        <v>444</v>
      </c>
      <c r="B874" s="488" t="s">
        <v>445</v>
      </c>
      <c r="C874" s="757" t="s">
        <v>2217</v>
      </c>
      <c r="D874" s="488" t="s">
        <v>2467</v>
      </c>
      <c r="E874" s="101">
        <v>43414</v>
      </c>
      <c r="F874" s="46">
        <v>2400</v>
      </c>
    </row>
    <row r="875" spans="1:6">
      <c r="A875" s="488" t="s">
        <v>726</v>
      </c>
      <c r="B875" s="488" t="s">
        <v>727</v>
      </c>
      <c r="C875" s="757" t="s">
        <v>2222</v>
      </c>
      <c r="D875" s="488" t="s">
        <v>2466</v>
      </c>
      <c r="E875" s="101">
        <v>43414</v>
      </c>
      <c r="F875" s="46">
        <v>2000</v>
      </c>
    </row>
    <row r="876" spans="1:6">
      <c r="A876" s="488" t="s">
        <v>863</v>
      </c>
      <c r="B876" s="488" t="s">
        <v>864</v>
      </c>
      <c r="C876" s="757" t="s">
        <v>2218</v>
      </c>
      <c r="D876" s="488" t="s">
        <v>2466</v>
      </c>
      <c r="E876" s="101">
        <v>43414</v>
      </c>
      <c r="F876" s="46">
        <v>1629.45</v>
      </c>
    </row>
    <row r="877" spans="1:6">
      <c r="A877" s="488" t="s">
        <v>455</v>
      </c>
      <c r="B877" s="488" t="s">
        <v>456</v>
      </c>
      <c r="C877" s="757" t="s">
        <v>2219</v>
      </c>
      <c r="D877" s="488" t="s">
        <v>2467</v>
      </c>
      <c r="E877" s="101">
        <v>43414</v>
      </c>
      <c r="F877" s="46">
        <v>1500</v>
      </c>
    </row>
    <row r="878" spans="1:6">
      <c r="A878" s="488" t="s">
        <v>393</v>
      </c>
      <c r="B878" s="488" t="s">
        <v>394</v>
      </c>
      <c r="C878" s="757" t="s">
        <v>2684</v>
      </c>
      <c r="D878" s="488" t="s">
        <v>2468</v>
      </c>
      <c r="E878" s="101">
        <v>43414</v>
      </c>
      <c r="F878" s="46">
        <v>2000</v>
      </c>
    </row>
    <row r="879" spans="1:6">
      <c r="A879" s="488" t="s">
        <v>457</v>
      </c>
      <c r="B879" s="488" t="s">
        <v>458</v>
      </c>
      <c r="C879" s="757" t="s">
        <v>2220</v>
      </c>
      <c r="D879" s="488" t="s">
        <v>2472</v>
      </c>
      <c r="E879" s="101">
        <v>43414</v>
      </c>
      <c r="F879" s="46">
        <v>2000</v>
      </c>
    </row>
    <row r="880" spans="1:6">
      <c r="A880" s="488" t="s">
        <v>336</v>
      </c>
      <c r="B880" s="488" t="s">
        <v>337</v>
      </c>
      <c r="C880" s="757" t="s">
        <v>2224</v>
      </c>
      <c r="D880" s="488" t="s">
        <v>2467</v>
      </c>
      <c r="E880" s="101">
        <v>43416</v>
      </c>
      <c r="F880" s="46">
        <v>730.42</v>
      </c>
    </row>
    <row r="881" spans="1:6">
      <c r="A881" s="488" t="s">
        <v>468</v>
      </c>
      <c r="B881" s="488" t="s">
        <v>469</v>
      </c>
      <c r="C881" s="757" t="s">
        <v>2227</v>
      </c>
      <c r="D881" s="488" t="s">
        <v>103</v>
      </c>
      <c r="E881" s="101">
        <v>43416</v>
      </c>
      <c r="F881" s="46">
        <v>1500</v>
      </c>
    </row>
    <row r="882" spans="1:6">
      <c r="A882" s="488" t="s">
        <v>2685</v>
      </c>
      <c r="B882" s="488" t="s">
        <v>2686</v>
      </c>
      <c r="C882" s="757" t="s">
        <v>2687</v>
      </c>
      <c r="D882" s="488" t="s">
        <v>2467</v>
      </c>
      <c r="E882" s="101">
        <v>43416</v>
      </c>
      <c r="F882" s="46">
        <v>3000</v>
      </c>
    </row>
    <row r="883" spans="1:6">
      <c r="A883" s="488" t="s">
        <v>740</v>
      </c>
      <c r="B883" s="488" t="s">
        <v>741</v>
      </c>
      <c r="C883" s="757" t="s">
        <v>2688</v>
      </c>
      <c r="D883" s="488" t="s">
        <v>2466</v>
      </c>
      <c r="E883" s="101">
        <v>43416</v>
      </c>
      <c r="F883" s="46">
        <v>2553.11</v>
      </c>
    </row>
    <row r="884" spans="1:6">
      <c r="A884" s="488" t="s">
        <v>2553</v>
      </c>
      <c r="B884" s="488" t="s">
        <v>2554</v>
      </c>
      <c r="C884" s="757" t="s">
        <v>2689</v>
      </c>
      <c r="D884" s="488" t="s">
        <v>2465</v>
      </c>
      <c r="E884" s="101">
        <v>43416</v>
      </c>
      <c r="F884" s="46">
        <v>313.63</v>
      </c>
    </row>
    <row r="885" spans="1:6">
      <c r="A885" s="488" t="s">
        <v>475</v>
      </c>
      <c r="B885" s="488" t="s">
        <v>476</v>
      </c>
      <c r="C885" s="757" t="s">
        <v>2225</v>
      </c>
      <c r="D885" s="488" t="s">
        <v>103</v>
      </c>
      <c r="E885" s="101">
        <v>43416</v>
      </c>
      <c r="F885" s="46">
        <v>2000</v>
      </c>
    </row>
    <row r="886" spans="1:6">
      <c r="A886" s="488" t="s">
        <v>749</v>
      </c>
      <c r="B886" s="488" t="s">
        <v>330</v>
      </c>
      <c r="C886" s="757" t="s">
        <v>2226</v>
      </c>
      <c r="D886" s="488" t="s">
        <v>2472</v>
      </c>
      <c r="E886" s="101">
        <v>43416</v>
      </c>
      <c r="F886" s="46">
        <v>271.92</v>
      </c>
    </row>
    <row r="887" spans="1:6">
      <c r="A887" s="488" t="s">
        <v>2690</v>
      </c>
      <c r="B887" s="488" t="s">
        <v>325</v>
      </c>
      <c r="C887" s="757" t="s">
        <v>2691</v>
      </c>
      <c r="D887" s="488" t="s">
        <v>2500</v>
      </c>
      <c r="E887" s="101">
        <v>43417</v>
      </c>
      <c r="F887" s="46">
        <v>3245.46</v>
      </c>
    </row>
    <row r="888" spans="1:6">
      <c r="A888" s="488" t="s">
        <v>429</v>
      </c>
      <c r="B888" s="488" t="s">
        <v>430</v>
      </c>
      <c r="C888" s="757" t="s">
        <v>2228</v>
      </c>
      <c r="D888" s="488" t="s">
        <v>2495</v>
      </c>
      <c r="E888" s="101">
        <v>43417</v>
      </c>
      <c r="F888" s="46">
        <v>1400</v>
      </c>
    </row>
    <row r="889" spans="1:6">
      <c r="A889" s="488" t="s">
        <v>899</v>
      </c>
      <c r="B889" s="488" t="s">
        <v>900</v>
      </c>
      <c r="C889" s="757" t="s">
        <v>2692</v>
      </c>
      <c r="D889" s="488" t="s">
        <v>2465</v>
      </c>
      <c r="E889" s="101">
        <v>43417</v>
      </c>
      <c r="F889" s="46">
        <v>900</v>
      </c>
    </row>
    <row r="890" spans="1:6">
      <c r="A890" s="488" t="s">
        <v>880</v>
      </c>
      <c r="B890" s="488" t="s">
        <v>881</v>
      </c>
      <c r="C890" s="757" t="s">
        <v>2231</v>
      </c>
      <c r="D890" s="488" t="s">
        <v>2486</v>
      </c>
      <c r="E890" s="101">
        <v>43417</v>
      </c>
      <c r="F890" s="46">
        <v>472.33</v>
      </c>
    </row>
    <row r="891" spans="1:6">
      <c r="A891" s="488" t="s">
        <v>373</v>
      </c>
      <c r="B891" s="488" t="s">
        <v>374</v>
      </c>
      <c r="C891" s="757" t="s">
        <v>2229</v>
      </c>
      <c r="D891" s="488" t="s">
        <v>2471</v>
      </c>
      <c r="E891" s="101">
        <v>43417</v>
      </c>
      <c r="F891" s="46">
        <v>1175.58</v>
      </c>
    </row>
    <row r="892" spans="1:6">
      <c r="A892" s="488" t="s">
        <v>340</v>
      </c>
      <c r="B892" s="488" t="s">
        <v>341</v>
      </c>
      <c r="C892" s="757" t="s">
        <v>2232</v>
      </c>
      <c r="D892" s="488" t="s">
        <v>2468</v>
      </c>
      <c r="E892" s="101">
        <v>43417</v>
      </c>
      <c r="F892" s="46">
        <v>679.89</v>
      </c>
    </row>
    <row r="893" spans="1:6">
      <c r="A893" s="488" t="s">
        <v>453</v>
      </c>
      <c r="B893" s="488" t="s">
        <v>454</v>
      </c>
      <c r="C893" s="757" t="s">
        <v>2230</v>
      </c>
      <c r="D893" s="488" t="s">
        <v>2467</v>
      </c>
      <c r="E893" s="101">
        <v>43417</v>
      </c>
      <c r="F893" s="46">
        <v>800</v>
      </c>
    </row>
    <row r="894" spans="1:6">
      <c r="A894" s="488" t="s">
        <v>338</v>
      </c>
      <c r="B894" s="488" t="s">
        <v>339</v>
      </c>
      <c r="C894" s="757" t="s">
        <v>2234</v>
      </c>
      <c r="D894" s="488" t="s">
        <v>2476</v>
      </c>
      <c r="E894" s="101">
        <v>43418</v>
      </c>
      <c r="F894" s="46">
        <v>1914</v>
      </c>
    </row>
    <row r="895" spans="1:6">
      <c r="A895" s="488" t="s">
        <v>414</v>
      </c>
      <c r="B895" s="488" t="s">
        <v>415</v>
      </c>
      <c r="C895" s="757" t="s">
        <v>2174</v>
      </c>
      <c r="D895" s="488" t="s">
        <v>2467</v>
      </c>
      <c r="E895" s="101">
        <v>43418</v>
      </c>
      <c r="F895" s="46">
        <v>1052.31</v>
      </c>
    </row>
    <row r="896" spans="1:6">
      <c r="A896" s="488" t="s">
        <v>475</v>
      </c>
      <c r="B896" s="488" t="s">
        <v>476</v>
      </c>
      <c r="C896" s="757" t="s">
        <v>2233</v>
      </c>
      <c r="D896" s="488" t="s">
        <v>103</v>
      </c>
      <c r="E896" s="101">
        <v>43418</v>
      </c>
      <c r="F896" s="46">
        <v>2000</v>
      </c>
    </row>
    <row r="897" spans="1:6">
      <c r="A897" s="488" t="s">
        <v>397</v>
      </c>
      <c r="B897" s="488" t="s">
        <v>398</v>
      </c>
      <c r="C897" s="757" t="s">
        <v>2235</v>
      </c>
      <c r="D897" s="488" t="s">
        <v>2499</v>
      </c>
      <c r="E897" s="101">
        <v>43419</v>
      </c>
      <c r="F897" s="46">
        <v>523.25</v>
      </c>
    </row>
    <row r="898" spans="1:6">
      <c r="A898" s="488" t="s">
        <v>401</v>
      </c>
      <c r="B898" s="488" t="s">
        <v>402</v>
      </c>
      <c r="C898" s="757" t="s">
        <v>2693</v>
      </c>
      <c r="D898" s="488" t="s">
        <v>2468</v>
      </c>
      <c r="E898" s="101">
        <v>43419</v>
      </c>
      <c r="F898" s="46">
        <v>3500</v>
      </c>
    </row>
    <row r="899" spans="1:6">
      <c r="A899" s="488" t="s">
        <v>448</v>
      </c>
      <c r="B899" s="488" t="s">
        <v>449</v>
      </c>
      <c r="C899" s="757" t="s">
        <v>2694</v>
      </c>
      <c r="D899" s="488" t="s">
        <v>2468</v>
      </c>
      <c r="E899" s="101">
        <v>43419</v>
      </c>
      <c r="F899" s="46">
        <v>6601.11</v>
      </c>
    </row>
    <row r="900" spans="1:6">
      <c r="A900" s="488" t="s">
        <v>857</v>
      </c>
      <c r="B900" s="488" t="s">
        <v>858</v>
      </c>
      <c r="C900" s="757" t="s">
        <v>2236</v>
      </c>
      <c r="D900" s="488" t="s">
        <v>2472</v>
      </c>
      <c r="E900" s="101">
        <v>43419</v>
      </c>
      <c r="F900" s="46">
        <v>3625</v>
      </c>
    </row>
    <row r="901" spans="1:6">
      <c r="A901" s="488" t="s">
        <v>797</v>
      </c>
      <c r="B901" s="488" t="s">
        <v>798</v>
      </c>
      <c r="C901" s="757" t="s">
        <v>2237</v>
      </c>
      <c r="D901" s="488" t="s">
        <v>2468</v>
      </c>
      <c r="E901" s="101">
        <v>43419</v>
      </c>
      <c r="F901" s="46">
        <v>5000</v>
      </c>
    </row>
    <row r="902" spans="1:6" s="749" customFormat="1">
      <c r="A902" s="488" t="s">
        <v>2695</v>
      </c>
      <c r="B902" s="488" t="s">
        <v>2696</v>
      </c>
      <c r="C902" s="757" t="s">
        <v>2697</v>
      </c>
      <c r="D902" s="488" t="s">
        <v>2698</v>
      </c>
      <c r="E902" s="101">
        <v>43419</v>
      </c>
      <c r="F902" s="46">
        <v>3850</v>
      </c>
    </row>
    <row r="903" spans="1:6">
      <c r="A903" s="488" t="s">
        <v>332</v>
      </c>
      <c r="B903" s="488" t="s">
        <v>333</v>
      </c>
      <c r="C903" s="757" t="s">
        <v>2244</v>
      </c>
      <c r="D903" s="488" t="s">
        <v>2466</v>
      </c>
      <c r="E903" s="101">
        <v>43419</v>
      </c>
      <c r="F903" s="46">
        <v>4032.68</v>
      </c>
    </row>
    <row r="904" spans="1:6">
      <c r="A904" s="488" t="s">
        <v>873</v>
      </c>
      <c r="B904" s="488" t="s">
        <v>874</v>
      </c>
      <c r="C904" s="757" t="s">
        <v>1490</v>
      </c>
      <c r="D904" s="488" t="s">
        <v>103</v>
      </c>
      <c r="E904" s="101">
        <v>43419</v>
      </c>
      <c r="F904" s="46">
        <v>3092.86</v>
      </c>
    </row>
    <row r="905" spans="1:6">
      <c r="A905" s="488" t="s">
        <v>791</v>
      </c>
      <c r="B905" s="488" t="s">
        <v>792</v>
      </c>
      <c r="C905" s="757" t="s">
        <v>2699</v>
      </c>
      <c r="D905" s="488" t="s">
        <v>2487</v>
      </c>
      <c r="E905" s="101">
        <v>43419</v>
      </c>
      <c r="F905" s="46">
        <v>1000</v>
      </c>
    </row>
    <row r="906" spans="1:6">
      <c r="A906" s="488" t="s">
        <v>411</v>
      </c>
      <c r="B906" s="488" t="s">
        <v>412</v>
      </c>
      <c r="C906" s="757" t="s">
        <v>2700</v>
      </c>
      <c r="D906" s="488" t="s">
        <v>2465</v>
      </c>
      <c r="E906" s="101">
        <v>43419</v>
      </c>
      <c r="F906" s="46">
        <v>445.3</v>
      </c>
    </row>
    <row r="907" spans="1:6">
      <c r="A907" s="488" t="s">
        <v>435</v>
      </c>
      <c r="B907" s="488" t="s">
        <v>436</v>
      </c>
      <c r="C907" s="757" t="s">
        <v>2238</v>
      </c>
      <c r="D907" s="488" t="s">
        <v>2465</v>
      </c>
      <c r="E907" s="101">
        <v>43419</v>
      </c>
      <c r="F907" s="46">
        <v>1699.94</v>
      </c>
    </row>
    <row r="908" spans="1:6">
      <c r="A908" s="488" t="s">
        <v>882</v>
      </c>
      <c r="B908" s="488" t="s">
        <v>321</v>
      </c>
      <c r="C908" s="757" t="s">
        <v>2239</v>
      </c>
      <c r="D908" s="488" t="s">
        <v>103</v>
      </c>
      <c r="E908" s="101">
        <v>43419</v>
      </c>
      <c r="F908" s="46">
        <v>1576.73</v>
      </c>
    </row>
    <row r="909" spans="1:6">
      <c r="A909" s="488" t="s">
        <v>882</v>
      </c>
      <c r="B909" s="488" t="s">
        <v>321</v>
      </c>
      <c r="C909" s="757" t="s">
        <v>2240</v>
      </c>
      <c r="D909" s="488" t="s">
        <v>103</v>
      </c>
      <c r="E909" s="101">
        <v>43419</v>
      </c>
      <c r="F909" s="46">
        <v>1900</v>
      </c>
    </row>
    <row r="910" spans="1:6">
      <c r="A910" s="488" t="s">
        <v>2701</v>
      </c>
      <c r="B910" s="488" t="s">
        <v>439</v>
      </c>
      <c r="C910" s="757" t="s">
        <v>2702</v>
      </c>
      <c r="D910" s="488" t="s">
        <v>2478</v>
      </c>
      <c r="E910" s="101">
        <v>43419</v>
      </c>
      <c r="F910" s="46">
        <v>2729.06</v>
      </c>
    </row>
    <row r="911" spans="1:6">
      <c r="A911" s="488" t="s">
        <v>2703</v>
      </c>
      <c r="B911" s="488" t="s">
        <v>547</v>
      </c>
      <c r="C911" s="757" t="s">
        <v>2704</v>
      </c>
      <c r="D911" s="488" t="s">
        <v>2466</v>
      </c>
      <c r="E911" s="101">
        <v>43419</v>
      </c>
      <c r="F911" s="46">
        <v>1478.22</v>
      </c>
    </row>
    <row r="912" spans="1:6">
      <c r="A912" s="488" t="s">
        <v>379</v>
      </c>
      <c r="B912" s="488" t="s">
        <v>380</v>
      </c>
      <c r="C912" s="757" t="s">
        <v>2241</v>
      </c>
      <c r="D912" s="488" t="s">
        <v>2472</v>
      </c>
      <c r="E912" s="101">
        <v>43419</v>
      </c>
      <c r="F912" s="46">
        <v>1800</v>
      </c>
    </row>
    <row r="913" spans="1:6">
      <c r="A913" s="488" t="s">
        <v>442</v>
      </c>
      <c r="B913" s="488" t="s">
        <v>443</v>
      </c>
      <c r="C913" s="757" t="s">
        <v>2705</v>
      </c>
      <c r="D913" s="488" t="s">
        <v>2472</v>
      </c>
      <c r="E913" s="101">
        <v>43419</v>
      </c>
      <c r="F913" s="46">
        <v>598</v>
      </c>
    </row>
    <row r="914" spans="1:6">
      <c r="A914" s="488" t="s">
        <v>391</v>
      </c>
      <c r="B914" s="488" t="s">
        <v>392</v>
      </c>
      <c r="C914" s="757" t="s">
        <v>2242</v>
      </c>
      <c r="D914" s="488" t="s">
        <v>2472</v>
      </c>
      <c r="E914" s="101">
        <v>43419</v>
      </c>
      <c r="F914" s="46">
        <v>1163.58</v>
      </c>
    </row>
    <row r="915" spans="1:6">
      <c r="A915" s="488" t="s">
        <v>493</v>
      </c>
      <c r="B915" s="488" t="s">
        <v>494</v>
      </c>
      <c r="C915" s="757" t="s">
        <v>2243</v>
      </c>
      <c r="D915" s="488" t="s">
        <v>2472</v>
      </c>
      <c r="E915" s="101">
        <v>43419</v>
      </c>
      <c r="F915" s="46">
        <v>1635.22</v>
      </c>
    </row>
    <row r="916" spans="1:6">
      <c r="A916" s="488" t="s">
        <v>466</v>
      </c>
      <c r="B916" s="488" t="s">
        <v>467</v>
      </c>
      <c r="C916" s="757" t="s">
        <v>2706</v>
      </c>
      <c r="D916" s="488" t="s">
        <v>2468</v>
      </c>
      <c r="E916" s="101">
        <v>43419</v>
      </c>
      <c r="F916" s="46">
        <v>2000</v>
      </c>
    </row>
    <row r="917" spans="1:6">
      <c r="A917" s="488" t="s">
        <v>728</v>
      </c>
      <c r="B917" s="488" t="s">
        <v>729</v>
      </c>
      <c r="C917" s="757" t="s">
        <v>2707</v>
      </c>
      <c r="D917" s="488" t="s">
        <v>2478</v>
      </c>
      <c r="E917" s="101">
        <v>43419</v>
      </c>
      <c r="F917" s="46">
        <v>2606.1</v>
      </c>
    </row>
    <row r="918" spans="1:6">
      <c r="A918" s="488" t="s">
        <v>764</v>
      </c>
      <c r="B918" s="488" t="s">
        <v>765</v>
      </c>
      <c r="C918" s="757" t="s">
        <v>2708</v>
      </c>
      <c r="D918" s="488" t="s">
        <v>2468</v>
      </c>
      <c r="E918" s="101">
        <v>43419</v>
      </c>
      <c r="F918" s="46">
        <v>584</v>
      </c>
    </row>
    <row r="919" spans="1:6">
      <c r="A919" s="488" t="s">
        <v>393</v>
      </c>
      <c r="B919" s="488" t="s">
        <v>394</v>
      </c>
      <c r="C919" s="757" t="s">
        <v>2709</v>
      </c>
      <c r="D919" s="488" t="s">
        <v>2468</v>
      </c>
      <c r="E919" s="101">
        <v>43419</v>
      </c>
      <c r="F919" s="46">
        <v>2000</v>
      </c>
    </row>
    <row r="920" spans="1:6">
      <c r="A920" s="488" t="s">
        <v>472</v>
      </c>
      <c r="B920" s="488" t="s">
        <v>473</v>
      </c>
      <c r="C920" s="757" t="s">
        <v>2245</v>
      </c>
      <c r="D920" s="488" t="s">
        <v>2465</v>
      </c>
      <c r="E920" s="101">
        <v>43420</v>
      </c>
      <c r="F920" s="46">
        <v>5000</v>
      </c>
    </row>
    <row r="921" spans="1:6">
      <c r="A921" s="488" t="s">
        <v>475</v>
      </c>
      <c r="B921" s="488" t="s">
        <v>476</v>
      </c>
      <c r="C921" s="757" t="s">
        <v>2246</v>
      </c>
      <c r="D921" s="488" t="s">
        <v>103</v>
      </c>
      <c r="E921" s="101">
        <v>43420</v>
      </c>
      <c r="F921" s="46">
        <v>2000</v>
      </c>
    </row>
    <row r="922" spans="1:6">
      <c r="A922" s="488" t="s">
        <v>397</v>
      </c>
      <c r="B922" s="488" t="s">
        <v>398</v>
      </c>
      <c r="C922" s="757" t="s">
        <v>2710</v>
      </c>
      <c r="D922" s="488" t="s">
        <v>2499</v>
      </c>
      <c r="E922" s="101">
        <v>43421</v>
      </c>
      <c r="F922" s="46">
        <v>481.2</v>
      </c>
    </row>
    <row r="923" spans="1:6">
      <c r="A923" s="488" t="s">
        <v>495</v>
      </c>
      <c r="B923" s="488" t="s">
        <v>496</v>
      </c>
      <c r="C923" s="757" t="s">
        <v>2711</v>
      </c>
      <c r="D923" s="488" t="s">
        <v>2476</v>
      </c>
      <c r="E923" s="101">
        <v>43422</v>
      </c>
      <c r="F923" s="46">
        <v>6000</v>
      </c>
    </row>
    <row r="924" spans="1:6">
      <c r="A924" s="488" t="s">
        <v>894</v>
      </c>
      <c r="B924" s="488" t="s">
        <v>349</v>
      </c>
      <c r="C924" s="757" t="s">
        <v>2247</v>
      </c>
      <c r="D924" s="488" t="s">
        <v>2511</v>
      </c>
      <c r="E924" s="101">
        <v>43423</v>
      </c>
      <c r="F924" s="46">
        <v>771.69</v>
      </c>
    </row>
    <row r="925" spans="1:6">
      <c r="A925" s="488" t="s">
        <v>468</v>
      </c>
      <c r="B925" s="488" t="s">
        <v>469</v>
      </c>
      <c r="C925" s="757" t="s">
        <v>2250</v>
      </c>
      <c r="D925" s="488" t="s">
        <v>103</v>
      </c>
      <c r="E925" s="101">
        <v>43423</v>
      </c>
      <c r="F925" s="46">
        <v>1500</v>
      </c>
    </row>
    <row r="926" spans="1:6">
      <c r="A926" s="488" t="s">
        <v>338</v>
      </c>
      <c r="B926" s="488" t="s">
        <v>339</v>
      </c>
      <c r="C926" s="757" t="s">
        <v>2249</v>
      </c>
      <c r="D926" s="488" t="s">
        <v>2476</v>
      </c>
      <c r="E926" s="101">
        <v>43423</v>
      </c>
      <c r="F926" s="46">
        <v>1912</v>
      </c>
    </row>
    <row r="927" spans="1:6">
      <c r="A927" s="488" t="s">
        <v>414</v>
      </c>
      <c r="B927" s="488" t="s">
        <v>415</v>
      </c>
      <c r="C927" s="757" t="s">
        <v>2712</v>
      </c>
      <c r="D927" s="488" t="s">
        <v>2467</v>
      </c>
      <c r="E927" s="101">
        <v>43423</v>
      </c>
      <c r="F927" s="46">
        <v>1052.31</v>
      </c>
    </row>
    <row r="928" spans="1:6">
      <c r="A928" s="488" t="s">
        <v>475</v>
      </c>
      <c r="B928" s="488" t="s">
        <v>476</v>
      </c>
      <c r="C928" s="757" t="s">
        <v>2248</v>
      </c>
      <c r="D928" s="488" t="s">
        <v>103</v>
      </c>
      <c r="E928" s="101">
        <v>43423</v>
      </c>
      <c r="F928" s="46">
        <v>2000</v>
      </c>
    </row>
    <row r="929" spans="1:6">
      <c r="A929" s="488" t="s">
        <v>732</v>
      </c>
      <c r="B929" s="488" t="s">
        <v>733</v>
      </c>
      <c r="C929" s="757" t="s">
        <v>2261</v>
      </c>
      <c r="D929" s="488" t="s">
        <v>2467</v>
      </c>
      <c r="E929" s="101">
        <v>43424</v>
      </c>
      <c r="F929" s="46">
        <v>555.1</v>
      </c>
    </row>
    <row r="930" spans="1:6">
      <c r="A930" s="488" t="s">
        <v>886</v>
      </c>
      <c r="B930" s="488" t="s">
        <v>723</v>
      </c>
      <c r="C930" s="757" t="s">
        <v>2713</v>
      </c>
      <c r="D930" s="488" t="s">
        <v>2479</v>
      </c>
      <c r="E930" s="101">
        <v>43424</v>
      </c>
      <c r="F930" s="46">
        <v>1593.48</v>
      </c>
    </row>
    <row r="931" spans="1:6">
      <c r="A931" s="488" t="s">
        <v>1691</v>
      </c>
      <c r="B931" s="488" t="s">
        <v>2520</v>
      </c>
      <c r="C931" s="757" t="s">
        <v>2262</v>
      </c>
      <c r="D931" s="488" t="s">
        <v>2472</v>
      </c>
      <c r="E931" s="101">
        <v>43424</v>
      </c>
      <c r="F931" s="46">
        <v>3000</v>
      </c>
    </row>
    <row r="932" spans="1:6">
      <c r="A932" s="488" t="s">
        <v>461</v>
      </c>
      <c r="B932" s="488" t="s">
        <v>462</v>
      </c>
      <c r="C932" s="757" t="s">
        <v>2714</v>
      </c>
      <c r="D932" s="488" t="s">
        <v>2468</v>
      </c>
      <c r="E932" s="101">
        <v>43424</v>
      </c>
      <c r="F932" s="46">
        <v>500</v>
      </c>
    </row>
    <row r="933" spans="1:6">
      <c r="A933" s="488" t="s">
        <v>915</v>
      </c>
      <c r="B933" s="488" t="s">
        <v>916</v>
      </c>
      <c r="C933" s="757" t="s">
        <v>2715</v>
      </c>
      <c r="D933" s="488" t="s">
        <v>103</v>
      </c>
      <c r="E933" s="101">
        <v>43424</v>
      </c>
      <c r="F933" s="46">
        <v>644.34</v>
      </c>
    </row>
    <row r="934" spans="1:6">
      <c r="A934" s="488" t="s">
        <v>356</v>
      </c>
      <c r="B934" s="488" t="s">
        <v>357</v>
      </c>
      <c r="C934" s="757" t="s">
        <v>2258</v>
      </c>
      <c r="D934" s="488" t="s">
        <v>2465</v>
      </c>
      <c r="E934" s="101">
        <v>43424</v>
      </c>
      <c r="F934" s="46">
        <v>3382.06</v>
      </c>
    </row>
    <row r="935" spans="1:6">
      <c r="A935" s="488" t="s">
        <v>926</v>
      </c>
      <c r="B935" s="488" t="s">
        <v>927</v>
      </c>
      <c r="C935" s="757" t="s">
        <v>2251</v>
      </c>
      <c r="D935" s="488" t="s">
        <v>2470</v>
      </c>
      <c r="E935" s="101">
        <v>43424</v>
      </c>
      <c r="F935" s="46">
        <v>2931</v>
      </c>
    </row>
    <row r="936" spans="1:6">
      <c r="A936" s="488" t="s">
        <v>411</v>
      </c>
      <c r="B936" s="488" t="s">
        <v>412</v>
      </c>
      <c r="C936" s="757" t="s">
        <v>2716</v>
      </c>
      <c r="D936" s="488" t="s">
        <v>2465</v>
      </c>
      <c r="E936" s="101">
        <v>43424</v>
      </c>
      <c r="F936" s="46">
        <v>445.3</v>
      </c>
    </row>
    <row r="937" spans="1:6">
      <c r="A937" s="488" t="s">
        <v>929</v>
      </c>
      <c r="B937" s="488" t="s">
        <v>529</v>
      </c>
      <c r="C937" s="757" t="s">
        <v>2252</v>
      </c>
      <c r="D937" s="488" t="s">
        <v>103</v>
      </c>
      <c r="E937" s="101">
        <v>43424</v>
      </c>
      <c r="F937" s="46">
        <v>640</v>
      </c>
    </row>
    <row r="938" spans="1:6">
      <c r="A938" s="488" t="s">
        <v>813</v>
      </c>
      <c r="B938" s="488" t="s">
        <v>506</v>
      </c>
      <c r="C938" s="757" t="s">
        <v>2253</v>
      </c>
      <c r="D938" s="488" t="s">
        <v>2524</v>
      </c>
      <c r="E938" s="101">
        <v>43424</v>
      </c>
      <c r="F938" s="46">
        <v>2000</v>
      </c>
    </row>
    <row r="939" spans="1:6">
      <c r="A939" s="488" t="s">
        <v>2717</v>
      </c>
      <c r="B939" s="488" t="s">
        <v>2718</v>
      </c>
      <c r="C939" s="757" t="s">
        <v>2719</v>
      </c>
      <c r="D939" s="488" t="s">
        <v>2525</v>
      </c>
      <c r="E939" s="101">
        <v>43424</v>
      </c>
      <c r="F939" s="46">
        <v>1079.31</v>
      </c>
    </row>
    <row r="940" spans="1:6">
      <c r="A940" s="488" t="s">
        <v>371</v>
      </c>
      <c r="B940" s="488" t="s">
        <v>372</v>
      </c>
      <c r="C940" s="757" t="s">
        <v>2720</v>
      </c>
      <c r="D940" s="488" t="s">
        <v>2470</v>
      </c>
      <c r="E940" s="101">
        <v>43424</v>
      </c>
      <c r="F940" s="46">
        <v>1997.21</v>
      </c>
    </row>
    <row r="941" spans="1:6">
      <c r="A941" s="488" t="s">
        <v>373</v>
      </c>
      <c r="B941" s="488" t="s">
        <v>374</v>
      </c>
      <c r="C941" s="757" t="s">
        <v>2254</v>
      </c>
      <c r="D941" s="488" t="s">
        <v>2471</v>
      </c>
      <c r="E941" s="101">
        <v>43424</v>
      </c>
      <c r="F941" s="46">
        <v>1175</v>
      </c>
    </row>
    <row r="942" spans="1:6">
      <c r="A942" s="488" t="s">
        <v>375</v>
      </c>
      <c r="B942" s="488" t="s">
        <v>376</v>
      </c>
      <c r="C942" s="757" t="s">
        <v>2721</v>
      </c>
      <c r="D942" s="488" t="s">
        <v>2511</v>
      </c>
      <c r="E942" s="101">
        <v>43424</v>
      </c>
      <c r="F942" s="46">
        <v>500</v>
      </c>
    </row>
    <row r="943" spans="1:6">
      <c r="A943" s="488" t="s">
        <v>375</v>
      </c>
      <c r="B943" s="488" t="s">
        <v>376</v>
      </c>
      <c r="C943" s="757" t="s">
        <v>2722</v>
      </c>
      <c r="D943" s="488" t="s">
        <v>2511</v>
      </c>
      <c r="E943" s="101">
        <v>43424</v>
      </c>
      <c r="F943" s="46">
        <v>500</v>
      </c>
    </row>
    <row r="944" spans="1:6">
      <c r="A944" s="488" t="s">
        <v>377</v>
      </c>
      <c r="B944" s="488" t="s">
        <v>378</v>
      </c>
      <c r="C944" s="757" t="s">
        <v>2723</v>
      </c>
      <c r="D944" s="488" t="s">
        <v>103</v>
      </c>
      <c r="E944" s="101">
        <v>43424</v>
      </c>
      <c r="F944" s="46">
        <v>3329.16</v>
      </c>
    </row>
    <row r="945" spans="1:6">
      <c r="A945" s="488" t="s">
        <v>442</v>
      </c>
      <c r="B945" s="488" t="s">
        <v>443</v>
      </c>
      <c r="C945" s="757" t="s">
        <v>2724</v>
      </c>
      <c r="D945" s="488" t="s">
        <v>2472</v>
      </c>
      <c r="E945" s="101">
        <v>43424</v>
      </c>
      <c r="F945" s="46">
        <v>598</v>
      </c>
    </row>
    <row r="946" spans="1:6">
      <c r="A946" s="488" t="s">
        <v>444</v>
      </c>
      <c r="B946" s="488" t="s">
        <v>445</v>
      </c>
      <c r="C946" s="757" t="s">
        <v>1461</v>
      </c>
      <c r="D946" s="488" t="s">
        <v>2467</v>
      </c>
      <c r="E946" s="101">
        <v>43424</v>
      </c>
      <c r="F946" s="46">
        <v>2400</v>
      </c>
    </row>
    <row r="947" spans="1:6">
      <c r="A947" s="488" t="s">
        <v>391</v>
      </c>
      <c r="B947" s="488" t="s">
        <v>392</v>
      </c>
      <c r="C947" s="757" t="s">
        <v>2255</v>
      </c>
      <c r="D947" s="488" t="s">
        <v>2472</v>
      </c>
      <c r="E947" s="101">
        <v>43424</v>
      </c>
      <c r="F947" s="46">
        <v>1163.58</v>
      </c>
    </row>
    <row r="948" spans="1:6">
      <c r="A948" s="488" t="s">
        <v>571</v>
      </c>
      <c r="B948" s="488" t="s">
        <v>572</v>
      </c>
      <c r="C948" s="757" t="s">
        <v>2260</v>
      </c>
      <c r="D948" s="488" t="s">
        <v>2467</v>
      </c>
      <c r="E948" s="101">
        <v>43424</v>
      </c>
      <c r="F948" s="46">
        <v>1205.8</v>
      </c>
    </row>
    <row r="949" spans="1:6">
      <c r="A949" s="488" t="s">
        <v>726</v>
      </c>
      <c r="B949" s="488" t="s">
        <v>727</v>
      </c>
      <c r="C949" s="757" t="s">
        <v>2259</v>
      </c>
      <c r="D949" s="488" t="s">
        <v>2466</v>
      </c>
      <c r="E949" s="101">
        <v>43424</v>
      </c>
      <c r="F949" s="46">
        <v>2000</v>
      </c>
    </row>
    <row r="950" spans="1:6">
      <c r="A950" s="488" t="s">
        <v>865</v>
      </c>
      <c r="B950" s="488" t="s">
        <v>866</v>
      </c>
      <c r="C950" s="757" t="s">
        <v>2725</v>
      </c>
      <c r="D950" s="488" t="s">
        <v>2467</v>
      </c>
      <c r="E950" s="101">
        <v>43424</v>
      </c>
      <c r="F950" s="46">
        <v>2569.63</v>
      </c>
    </row>
    <row r="951" spans="1:6">
      <c r="A951" s="488" t="s">
        <v>455</v>
      </c>
      <c r="B951" s="488" t="s">
        <v>456</v>
      </c>
      <c r="C951" s="757" t="s">
        <v>2256</v>
      </c>
      <c r="D951" s="488" t="s">
        <v>2467</v>
      </c>
      <c r="E951" s="101">
        <v>43424</v>
      </c>
      <c r="F951" s="46">
        <v>1500</v>
      </c>
    </row>
    <row r="952" spans="1:6">
      <c r="A952" s="488" t="s">
        <v>393</v>
      </c>
      <c r="B952" s="488" t="s">
        <v>394</v>
      </c>
      <c r="C952" s="757" t="s">
        <v>2726</v>
      </c>
      <c r="D952" s="488" t="s">
        <v>2468</v>
      </c>
      <c r="E952" s="101">
        <v>43424</v>
      </c>
      <c r="F952" s="46">
        <v>2000</v>
      </c>
    </row>
    <row r="953" spans="1:6">
      <c r="A953" s="488" t="s">
        <v>457</v>
      </c>
      <c r="B953" s="488" t="s">
        <v>458</v>
      </c>
      <c r="C953" s="757" t="s">
        <v>2257</v>
      </c>
      <c r="D953" s="488" t="s">
        <v>2472</v>
      </c>
      <c r="E953" s="101">
        <v>43424</v>
      </c>
      <c r="F953" s="46">
        <v>2000</v>
      </c>
    </row>
    <row r="954" spans="1:6">
      <c r="A954" s="488" t="s">
        <v>899</v>
      </c>
      <c r="B954" s="488" t="s">
        <v>900</v>
      </c>
      <c r="C954" s="757" t="s">
        <v>2727</v>
      </c>
      <c r="D954" s="488" t="s">
        <v>2465</v>
      </c>
      <c r="E954" s="101">
        <v>43425</v>
      </c>
      <c r="F954" s="46">
        <v>861.49</v>
      </c>
    </row>
    <row r="955" spans="1:6">
      <c r="A955" s="488" t="s">
        <v>429</v>
      </c>
      <c r="B955" s="488" t="s">
        <v>430</v>
      </c>
      <c r="C955" s="757" t="s">
        <v>2263</v>
      </c>
      <c r="D955" s="488" t="s">
        <v>2495</v>
      </c>
      <c r="E955" s="101">
        <v>43426</v>
      </c>
      <c r="F955" s="46">
        <v>1446.35</v>
      </c>
    </row>
    <row r="956" spans="1:6" s="749" customFormat="1">
      <c r="A956" s="488" t="s">
        <v>510</v>
      </c>
      <c r="B956" s="488" t="s">
        <v>511</v>
      </c>
      <c r="C956" s="757" t="s">
        <v>2728</v>
      </c>
      <c r="D956" s="488" t="s">
        <v>2467</v>
      </c>
      <c r="E956" s="101">
        <v>43426</v>
      </c>
      <c r="F956" s="46">
        <v>2216.35</v>
      </c>
    </row>
    <row r="957" spans="1:6">
      <c r="A957" s="488" t="s">
        <v>475</v>
      </c>
      <c r="B957" s="488" t="s">
        <v>476</v>
      </c>
      <c r="C957" s="757" t="s">
        <v>2264</v>
      </c>
      <c r="D957" s="488" t="s">
        <v>103</v>
      </c>
      <c r="E957" s="101">
        <v>43426</v>
      </c>
      <c r="F957" s="46">
        <v>2000</v>
      </c>
    </row>
    <row r="958" spans="1:6">
      <c r="A958" s="488" t="s">
        <v>892</v>
      </c>
      <c r="B958" s="488" t="s">
        <v>893</v>
      </c>
      <c r="C958" s="757" t="s">
        <v>2265</v>
      </c>
      <c r="D958" s="488" t="s">
        <v>2472</v>
      </c>
      <c r="E958" s="101">
        <v>43426</v>
      </c>
      <c r="F958" s="46">
        <v>5000</v>
      </c>
    </row>
    <row r="959" spans="1:6">
      <c r="A959" s="488" t="s">
        <v>466</v>
      </c>
      <c r="B959" s="488" t="s">
        <v>467</v>
      </c>
      <c r="C959" s="757" t="s">
        <v>2729</v>
      </c>
      <c r="D959" s="488" t="s">
        <v>2468</v>
      </c>
      <c r="E959" s="101">
        <v>43426</v>
      </c>
      <c r="F959" s="46">
        <v>2000</v>
      </c>
    </row>
    <row r="960" spans="1:6">
      <c r="A960" s="488" t="s">
        <v>2685</v>
      </c>
      <c r="B960" s="488" t="s">
        <v>2686</v>
      </c>
      <c r="C960" s="757" t="s">
        <v>2730</v>
      </c>
      <c r="D960" s="488" t="s">
        <v>2467</v>
      </c>
      <c r="E960" s="101">
        <v>43427</v>
      </c>
      <c r="F960" s="46">
        <v>3000</v>
      </c>
    </row>
    <row r="961" spans="1:6">
      <c r="A961" s="488" t="s">
        <v>2267</v>
      </c>
      <c r="B961" s="488" t="s">
        <v>751</v>
      </c>
      <c r="C961" s="757" t="s">
        <v>2268</v>
      </c>
      <c r="D961" s="488" t="s">
        <v>2495</v>
      </c>
      <c r="E961" s="101">
        <v>43427</v>
      </c>
      <c r="F961" s="46">
        <v>5813.91</v>
      </c>
    </row>
    <row r="962" spans="1:6">
      <c r="A962" s="488" t="s">
        <v>747</v>
      </c>
      <c r="B962" s="488" t="s">
        <v>748</v>
      </c>
      <c r="C962" s="757" t="s">
        <v>2266</v>
      </c>
      <c r="D962" s="488" t="s">
        <v>2496</v>
      </c>
      <c r="E962" s="101">
        <v>43427</v>
      </c>
      <c r="F962" s="46">
        <v>660</v>
      </c>
    </row>
    <row r="963" spans="1:6">
      <c r="A963" s="488" t="s">
        <v>468</v>
      </c>
      <c r="B963" s="488" t="s">
        <v>469</v>
      </c>
      <c r="C963" s="757" t="s">
        <v>2269</v>
      </c>
      <c r="D963" s="488" t="s">
        <v>103</v>
      </c>
      <c r="E963" s="101">
        <v>43428</v>
      </c>
      <c r="F963" s="46">
        <v>1500</v>
      </c>
    </row>
    <row r="964" spans="1:6">
      <c r="A964" s="488" t="s">
        <v>401</v>
      </c>
      <c r="B964" s="488" t="s">
        <v>402</v>
      </c>
      <c r="C964" s="757" t="s">
        <v>2731</v>
      </c>
      <c r="D964" s="488" t="s">
        <v>2468</v>
      </c>
      <c r="E964" s="101">
        <v>43429</v>
      </c>
      <c r="F964" s="46">
        <v>3500</v>
      </c>
    </row>
    <row r="965" spans="1:6">
      <c r="A965" s="488" t="s">
        <v>563</v>
      </c>
      <c r="B965" s="488" t="s">
        <v>492</v>
      </c>
      <c r="C965" s="757" t="s">
        <v>2270</v>
      </c>
      <c r="D965" s="488" t="s">
        <v>2468</v>
      </c>
      <c r="E965" s="101">
        <v>43429</v>
      </c>
      <c r="F965" s="46">
        <v>2737.8</v>
      </c>
    </row>
    <row r="966" spans="1:6">
      <c r="A966" s="488" t="s">
        <v>744</v>
      </c>
      <c r="B966" s="488" t="s">
        <v>745</v>
      </c>
      <c r="C966" s="757" t="s">
        <v>2732</v>
      </c>
      <c r="D966" s="488" t="s">
        <v>2496</v>
      </c>
      <c r="E966" s="101">
        <v>43429</v>
      </c>
      <c r="F966" s="46">
        <v>2180.91</v>
      </c>
    </row>
    <row r="967" spans="1:6">
      <c r="A967" s="488" t="s">
        <v>2271</v>
      </c>
      <c r="B967" s="488" t="s">
        <v>329</v>
      </c>
      <c r="C967" s="757" t="s">
        <v>2272</v>
      </c>
      <c r="D967" s="488" t="s">
        <v>2733</v>
      </c>
      <c r="E967" s="101">
        <v>43429</v>
      </c>
      <c r="F967" s="46">
        <v>3736.91</v>
      </c>
    </row>
    <row r="968" spans="1:6">
      <c r="A968" s="488" t="s">
        <v>752</v>
      </c>
      <c r="B968" s="488" t="s">
        <v>367</v>
      </c>
      <c r="C968" s="757" t="s">
        <v>2734</v>
      </c>
      <c r="D968" s="488" t="s">
        <v>2471</v>
      </c>
      <c r="E968" s="101">
        <v>43429</v>
      </c>
      <c r="F968" s="46">
        <v>2565.71</v>
      </c>
    </row>
    <row r="969" spans="1:6" s="749" customFormat="1">
      <c r="A969" s="488" t="s">
        <v>794</v>
      </c>
      <c r="B969" s="488" t="s">
        <v>482</v>
      </c>
      <c r="C969" s="757" t="s">
        <v>2735</v>
      </c>
      <c r="D969" s="488" t="s">
        <v>2470</v>
      </c>
      <c r="E969" s="101">
        <v>43429</v>
      </c>
      <c r="F969" s="46">
        <v>2179.16</v>
      </c>
    </row>
    <row r="970" spans="1:6">
      <c r="A970" s="488" t="s">
        <v>882</v>
      </c>
      <c r="B970" s="488" t="s">
        <v>321</v>
      </c>
      <c r="C970" s="757" t="s">
        <v>2273</v>
      </c>
      <c r="D970" s="488" t="s">
        <v>103</v>
      </c>
      <c r="E970" s="101">
        <v>43429</v>
      </c>
      <c r="F970" s="46">
        <v>1900</v>
      </c>
    </row>
    <row r="971" spans="1:6" s="749" customFormat="1">
      <c r="A971" s="488" t="s">
        <v>375</v>
      </c>
      <c r="B971" s="488" t="s">
        <v>376</v>
      </c>
      <c r="C971" s="757" t="s">
        <v>2274</v>
      </c>
      <c r="D971" s="488" t="s">
        <v>2511</v>
      </c>
      <c r="E971" s="101">
        <v>43429</v>
      </c>
      <c r="F971" s="46">
        <v>950</v>
      </c>
    </row>
    <row r="972" spans="1:6">
      <c r="A972" s="488" t="s">
        <v>486</v>
      </c>
      <c r="B972" s="488" t="s">
        <v>487</v>
      </c>
      <c r="C972" s="757" t="s">
        <v>2275</v>
      </c>
      <c r="D972" s="488" t="s">
        <v>103</v>
      </c>
      <c r="E972" s="101">
        <v>43429</v>
      </c>
      <c r="F972" s="46">
        <v>2000</v>
      </c>
    </row>
    <row r="973" spans="1:6">
      <c r="A973" s="488" t="s">
        <v>379</v>
      </c>
      <c r="B973" s="488" t="s">
        <v>380</v>
      </c>
      <c r="C973" s="757" t="s">
        <v>2276</v>
      </c>
      <c r="D973" s="488" t="s">
        <v>2472</v>
      </c>
      <c r="E973" s="101">
        <v>43429</v>
      </c>
      <c r="F973" s="46">
        <v>1526.25</v>
      </c>
    </row>
    <row r="974" spans="1:6">
      <c r="A974" s="488" t="s">
        <v>442</v>
      </c>
      <c r="B974" s="488" t="s">
        <v>443</v>
      </c>
      <c r="C974" s="757" t="s">
        <v>2736</v>
      </c>
      <c r="D974" s="488" t="s">
        <v>2472</v>
      </c>
      <c r="E974" s="101">
        <v>43429</v>
      </c>
      <c r="F974" s="46">
        <v>598</v>
      </c>
    </row>
    <row r="975" spans="1:6">
      <c r="A975" s="488" t="s">
        <v>762</v>
      </c>
      <c r="B975" s="488" t="s">
        <v>763</v>
      </c>
      <c r="C975" s="757" t="s">
        <v>2737</v>
      </c>
      <c r="D975" s="488" t="s">
        <v>2467</v>
      </c>
      <c r="E975" s="101">
        <v>43429</v>
      </c>
      <c r="F975" s="46">
        <v>743.9</v>
      </c>
    </row>
    <row r="976" spans="1:6">
      <c r="A976" s="488" t="s">
        <v>583</v>
      </c>
      <c r="B976" s="488" t="s">
        <v>584</v>
      </c>
      <c r="C976" s="757" t="s">
        <v>2278</v>
      </c>
      <c r="D976" s="488" t="s">
        <v>2478</v>
      </c>
      <c r="E976" s="101">
        <v>43429</v>
      </c>
      <c r="F976" s="46">
        <v>1259.49</v>
      </c>
    </row>
    <row r="977" spans="1:6">
      <c r="A977" s="488" t="s">
        <v>393</v>
      </c>
      <c r="B977" s="488" t="s">
        <v>394</v>
      </c>
      <c r="C977" s="757" t="s">
        <v>2738</v>
      </c>
      <c r="D977" s="488" t="s">
        <v>2468</v>
      </c>
      <c r="E977" s="101">
        <v>43429</v>
      </c>
      <c r="F977" s="46">
        <v>2000</v>
      </c>
    </row>
    <row r="978" spans="1:6">
      <c r="A978" s="488" t="s">
        <v>457</v>
      </c>
      <c r="B978" s="488" t="s">
        <v>458</v>
      </c>
      <c r="C978" s="757" t="s">
        <v>2277</v>
      </c>
      <c r="D978" s="488" t="s">
        <v>2472</v>
      </c>
      <c r="E978" s="101">
        <v>43429</v>
      </c>
      <c r="F978" s="46">
        <v>1637.94</v>
      </c>
    </row>
    <row r="979" spans="1:6">
      <c r="A979" s="488" t="s">
        <v>414</v>
      </c>
      <c r="B979" s="488" t="s">
        <v>415</v>
      </c>
      <c r="C979" s="757" t="s">
        <v>2739</v>
      </c>
      <c r="D979" s="488" t="s">
        <v>2467</v>
      </c>
      <c r="E979" s="101">
        <v>43430</v>
      </c>
      <c r="F979" s="46">
        <v>1052.31</v>
      </c>
    </row>
    <row r="980" spans="1:6">
      <c r="A980" s="488" t="s">
        <v>475</v>
      </c>
      <c r="B980" s="488" t="s">
        <v>476</v>
      </c>
      <c r="C980" s="757" t="s">
        <v>2279</v>
      </c>
      <c r="D980" s="488" t="s">
        <v>103</v>
      </c>
      <c r="E980" s="101">
        <v>43430</v>
      </c>
      <c r="F980" s="46">
        <v>2000</v>
      </c>
    </row>
    <row r="981" spans="1:6">
      <c r="A981" s="488" t="s">
        <v>501</v>
      </c>
      <c r="B981" s="488" t="s">
        <v>502</v>
      </c>
      <c r="C981" s="757" t="s">
        <v>2280</v>
      </c>
      <c r="D981" s="488" t="s">
        <v>2472</v>
      </c>
      <c r="E981" s="101">
        <v>43431</v>
      </c>
      <c r="F981" s="46">
        <v>14193.14</v>
      </c>
    </row>
    <row r="982" spans="1:6">
      <c r="A982" s="488" t="s">
        <v>894</v>
      </c>
      <c r="B982" s="488" t="s">
        <v>349</v>
      </c>
      <c r="C982" s="757" t="s">
        <v>2281</v>
      </c>
      <c r="D982" s="488" t="s">
        <v>2511</v>
      </c>
      <c r="E982" s="101">
        <v>43432</v>
      </c>
      <c r="F982" s="46">
        <v>771.69</v>
      </c>
    </row>
    <row r="983" spans="1:6">
      <c r="A983" s="488" t="s">
        <v>880</v>
      </c>
      <c r="B983" s="488" t="s">
        <v>881</v>
      </c>
      <c r="C983" s="757" t="s">
        <v>2285</v>
      </c>
      <c r="D983" s="488" t="s">
        <v>2486</v>
      </c>
      <c r="E983" s="101">
        <v>43432</v>
      </c>
      <c r="F983" s="46">
        <v>472.33</v>
      </c>
    </row>
    <row r="984" spans="1:6">
      <c r="A984" s="488" t="s">
        <v>2283</v>
      </c>
      <c r="B984" s="488" t="s">
        <v>473</v>
      </c>
      <c r="C984" s="757" t="s">
        <v>2284</v>
      </c>
      <c r="D984" s="488" t="s">
        <v>2467</v>
      </c>
      <c r="E984" s="101">
        <v>43432</v>
      </c>
      <c r="F984" s="46">
        <v>333.1</v>
      </c>
    </row>
    <row r="985" spans="1:6">
      <c r="A985" s="488" t="s">
        <v>495</v>
      </c>
      <c r="B985" s="488" t="s">
        <v>496</v>
      </c>
      <c r="C985" s="757" t="s">
        <v>2740</v>
      </c>
      <c r="D985" s="488" t="s">
        <v>2476</v>
      </c>
      <c r="E985" s="101">
        <v>43432</v>
      </c>
      <c r="F985" s="46">
        <v>6000</v>
      </c>
    </row>
    <row r="986" spans="1:6">
      <c r="A986" s="488" t="s">
        <v>510</v>
      </c>
      <c r="B986" s="488" t="s">
        <v>511</v>
      </c>
      <c r="C986" s="757" t="s">
        <v>2741</v>
      </c>
      <c r="D986" s="488" t="s">
        <v>2467</v>
      </c>
      <c r="E986" s="101">
        <v>43432</v>
      </c>
      <c r="F986" s="46">
        <v>2200</v>
      </c>
    </row>
    <row r="987" spans="1:6">
      <c r="A987" s="488" t="s">
        <v>475</v>
      </c>
      <c r="B987" s="488" t="s">
        <v>476</v>
      </c>
      <c r="C987" s="757" t="s">
        <v>2282</v>
      </c>
      <c r="D987" s="488" t="s">
        <v>103</v>
      </c>
      <c r="E987" s="101">
        <v>43432</v>
      </c>
      <c r="F987" s="46">
        <v>2000</v>
      </c>
    </row>
    <row r="988" spans="1:6">
      <c r="A988" s="488" t="s">
        <v>561</v>
      </c>
      <c r="B988" s="488" t="s">
        <v>562</v>
      </c>
      <c r="C988" s="757" t="s">
        <v>2742</v>
      </c>
      <c r="D988" s="488" t="s">
        <v>2472</v>
      </c>
      <c r="E988" s="101">
        <v>43432</v>
      </c>
      <c r="F988" s="46">
        <v>3998.21</v>
      </c>
    </row>
    <row r="989" spans="1:6">
      <c r="A989" s="488" t="s">
        <v>326</v>
      </c>
      <c r="B989" s="488" t="s">
        <v>327</v>
      </c>
      <c r="C989" s="757" t="s">
        <v>2286</v>
      </c>
      <c r="D989" s="488" t="s">
        <v>2468</v>
      </c>
      <c r="E989" s="101">
        <v>43433</v>
      </c>
      <c r="F989" s="46">
        <v>2496.0100000000002</v>
      </c>
    </row>
    <row r="990" spans="1:6">
      <c r="A990" s="488" t="s">
        <v>468</v>
      </c>
      <c r="B990" s="488" t="s">
        <v>469</v>
      </c>
      <c r="C990" s="757" t="s">
        <v>2287</v>
      </c>
      <c r="D990" s="488" t="s">
        <v>103</v>
      </c>
      <c r="E990" s="101">
        <v>43433</v>
      </c>
      <c r="F990" s="46">
        <v>1261.8399999999999</v>
      </c>
    </row>
    <row r="991" spans="1:6">
      <c r="A991" s="488" t="s">
        <v>738</v>
      </c>
      <c r="B991" s="488" t="s">
        <v>739</v>
      </c>
      <c r="C991" s="757" t="s">
        <v>2743</v>
      </c>
      <c r="D991" s="488" t="s">
        <v>103</v>
      </c>
      <c r="E991" s="101">
        <v>43433</v>
      </c>
      <c r="F991" s="46">
        <v>5325.97</v>
      </c>
    </row>
    <row r="992" spans="1:6">
      <c r="A992" s="488" t="s">
        <v>466</v>
      </c>
      <c r="B992" s="488" t="s">
        <v>467</v>
      </c>
      <c r="C992" s="757" t="s">
        <v>2744</v>
      </c>
      <c r="D992" s="488" t="s">
        <v>2468</v>
      </c>
      <c r="E992" s="101">
        <v>43433</v>
      </c>
      <c r="F992" s="46">
        <v>2000</v>
      </c>
    </row>
    <row r="993" spans="1:6">
      <c r="A993" s="488" t="s">
        <v>734</v>
      </c>
      <c r="B993" s="488" t="s">
        <v>735</v>
      </c>
      <c r="C993" s="757" t="s">
        <v>2745</v>
      </c>
      <c r="D993" s="488" t="s">
        <v>2478</v>
      </c>
      <c r="E993" s="101">
        <v>43434</v>
      </c>
      <c r="F993" s="46">
        <v>6682.37</v>
      </c>
    </row>
    <row r="994" spans="1:6">
      <c r="A994" s="488" t="s">
        <v>919</v>
      </c>
      <c r="B994" s="488" t="s">
        <v>768</v>
      </c>
      <c r="C994" s="757" t="s">
        <v>2746</v>
      </c>
      <c r="D994" s="488" t="s">
        <v>2463</v>
      </c>
      <c r="E994" s="101">
        <v>43434</v>
      </c>
      <c r="F994" s="46">
        <v>1921.18</v>
      </c>
    </row>
    <row r="995" spans="1:6">
      <c r="A995" s="488" t="s">
        <v>563</v>
      </c>
      <c r="B995" s="488" t="s">
        <v>492</v>
      </c>
      <c r="C995" s="757" t="s">
        <v>2747</v>
      </c>
      <c r="D995" s="488" t="s">
        <v>2468</v>
      </c>
      <c r="E995" s="101">
        <v>43434</v>
      </c>
      <c r="F995" s="46">
        <v>1556.77</v>
      </c>
    </row>
    <row r="996" spans="1:6">
      <c r="A996" s="488" t="s">
        <v>1691</v>
      </c>
      <c r="B996" s="488" t="s">
        <v>2520</v>
      </c>
      <c r="C996" s="757" t="s">
        <v>2321</v>
      </c>
      <c r="D996" s="488" t="s">
        <v>2472</v>
      </c>
      <c r="E996" s="101">
        <v>43434</v>
      </c>
      <c r="F996" s="46">
        <v>3334.01</v>
      </c>
    </row>
    <row r="997" spans="1:6">
      <c r="A997" s="488" t="s">
        <v>598</v>
      </c>
      <c r="B997" s="488" t="s">
        <v>599</v>
      </c>
      <c r="C997" s="757" t="s">
        <v>2318</v>
      </c>
      <c r="D997" s="488" t="s">
        <v>2466</v>
      </c>
      <c r="E997" s="101">
        <v>43434</v>
      </c>
      <c r="F997" s="46">
        <v>1902.85</v>
      </c>
    </row>
    <row r="998" spans="1:6">
      <c r="A998" s="488" t="s">
        <v>2695</v>
      </c>
      <c r="B998" s="488" t="s">
        <v>2696</v>
      </c>
      <c r="C998" s="757" t="s">
        <v>2748</v>
      </c>
      <c r="D998" s="488" t="s">
        <v>2698</v>
      </c>
      <c r="E998" s="101">
        <v>43434</v>
      </c>
      <c r="F998" s="46">
        <v>3891.79</v>
      </c>
    </row>
    <row r="999" spans="1:6">
      <c r="A999" s="488" t="s">
        <v>600</v>
      </c>
      <c r="B999" s="488" t="s">
        <v>601</v>
      </c>
      <c r="C999" s="757" t="s">
        <v>2319</v>
      </c>
      <c r="D999" s="488" t="s">
        <v>103</v>
      </c>
      <c r="E999" s="101">
        <v>43434</v>
      </c>
      <c r="F999" s="46">
        <v>2532</v>
      </c>
    </row>
    <row r="1000" spans="1:6">
      <c r="A1000" s="488" t="s">
        <v>461</v>
      </c>
      <c r="B1000" s="488" t="s">
        <v>462</v>
      </c>
      <c r="C1000" s="757" t="s">
        <v>2749</v>
      </c>
      <c r="D1000" s="488" t="s">
        <v>2468</v>
      </c>
      <c r="E1000" s="101">
        <v>43434</v>
      </c>
      <c r="F1000" s="46">
        <v>660.32</v>
      </c>
    </row>
    <row r="1001" spans="1:6">
      <c r="A1001" s="488" t="s">
        <v>670</v>
      </c>
      <c r="B1001" s="488" t="s">
        <v>671</v>
      </c>
      <c r="C1001" s="757" t="s">
        <v>2320</v>
      </c>
      <c r="D1001" s="488" t="s">
        <v>2478</v>
      </c>
      <c r="E1001" s="101">
        <v>43434</v>
      </c>
      <c r="F1001" s="46">
        <v>6138.1</v>
      </c>
    </row>
    <row r="1002" spans="1:6">
      <c r="A1002" s="488" t="s">
        <v>930</v>
      </c>
      <c r="B1002" s="488" t="s">
        <v>606</v>
      </c>
      <c r="C1002" s="757" t="s">
        <v>2288</v>
      </c>
      <c r="D1002" s="488" t="s">
        <v>2476</v>
      </c>
      <c r="E1002" s="101">
        <v>43434</v>
      </c>
      <c r="F1002" s="46">
        <v>8546.61</v>
      </c>
    </row>
    <row r="1003" spans="1:6">
      <c r="A1003" s="488" t="s">
        <v>429</v>
      </c>
      <c r="B1003" s="488" t="s">
        <v>430</v>
      </c>
      <c r="C1003" s="757" t="s">
        <v>2289</v>
      </c>
      <c r="D1003" s="488" t="s">
        <v>2495</v>
      </c>
      <c r="E1003" s="101">
        <v>43434</v>
      </c>
      <c r="F1003" s="46">
        <v>1423</v>
      </c>
    </row>
    <row r="1004" spans="1:6">
      <c r="A1004" s="488" t="s">
        <v>926</v>
      </c>
      <c r="B1004" s="488" t="s">
        <v>927</v>
      </c>
      <c r="C1004" s="757" t="s">
        <v>2290</v>
      </c>
      <c r="D1004" s="488" t="s">
        <v>2470</v>
      </c>
      <c r="E1004" s="101">
        <v>43434</v>
      </c>
      <c r="F1004" s="46">
        <v>2932</v>
      </c>
    </row>
    <row r="1005" spans="1:6">
      <c r="A1005" s="488" t="s">
        <v>411</v>
      </c>
      <c r="B1005" s="488" t="s">
        <v>412</v>
      </c>
      <c r="C1005" s="757" t="s">
        <v>2750</v>
      </c>
      <c r="D1005" s="488" t="s">
        <v>2465</v>
      </c>
      <c r="E1005" s="101">
        <v>43434</v>
      </c>
      <c r="F1005" s="46">
        <v>445.3</v>
      </c>
    </row>
    <row r="1006" spans="1:6">
      <c r="A1006" s="488" t="s">
        <v>908</v>
      </c>
      <c r="B1006" s="488" t="s">
        <v>807</v>
      </c>
      <c r="C1006" s="757" t="s">
        <v>2751</v>
      </c>
      <c r="D1006" s="488" t="s">
        <v>2510</v>
      </c>
      <c r="E1006" s="101">
        <v>43434</v>
      </c>
      <c r="F1006" s="46">
        <v>1420.1</v>
      </c>
    </row>
    <row r="1007" spans="1:6">
      <c r="A1007" s="488" t="s">
        <v>358</v>
      </c>
      <c r="B1007" s="488" t="s">
        <v>359</v>
      </c>
      <c r="C1007" s="757" t="s">
        <v>2307</v>
      </c>
      <c r="D1007" s="488" t="s">
        <v>2463</v>
      </c>
      <c r="E1007" s="101">
        <v>43434</v>
      </c>
      <c r="F1007" s="46">
        <v>500</v>
      </c>
    </row>
    <row r="1008" spans="1:6">
      <c r="A1008" s="488" t="s">
        <v>929</v>
      </c>
      <c r="B1008" s="488" t="s">
        <v>529</v>
      </c>
      <c r="C1008" s="757" t="s">
        <v>2291</v>
      </c>
      <c r="D1008" s="488" t="s">
        <v>103</v>
      </c>
      <c r="E1008" s="101">
        <v>43434</v>
      </c>
      <c r="F1008" s="46">
        <v>604.96</v>
      </c>
    </row>
    <row r="1009" spans="1:11">
      <c r="A1009" s="488" t="s">
        <v>813</v>
      </c>
      <c r="B1009" s="488" t="s">
        <v>506</v>
      </c>
      <c r="C1009" s="757" t="s">
        <v>2292</v>
      </c>
      <c r="D1009" s="488" t="s">
        <v>2524</v>
      </c>
      <c r="E1009" s="101">
        <v>43434</v>
      </c>
      <c r="F1009" s="46">
        <v>2242.58</v>
      </c>
      <c r="G1009" s="795"/>
      <c r="H1009" s="778"/>
      <c r="I1009" s="778"/>
      <c r="J1009" s="796"/>
      <c r="K1009" s="797"/>
    </row>
    <row r="1010" spans="1:11">
      <c r="A1010" s="488" t="s">
        <v>814</v>
      </c>
      <c r="B1010" s="488" t="s">
        <v>615</v>
      </c>
      <c r="C1010" s="757" t="s">
        <v>2309</v>
      </c>
      <c r="D1010" s="488" t="s">
        <v>2470</v>
      </c>
      <c r="E1010" s="101">
        <v>43434</v>
      </c>
      <c r="F1010" s="46">
        <v>1654.52</v>
      </c>
    </row>
    <row r="1011" spans="1:11">
      <c r="A1011" s="488" t="s">
        <v>2752</v>
      </c>
      <c r="B1011" s="488" t="s">
        <v>434</v>
      </c>
      <c r="C1011" s="757" t="s">
        <v>2753</v>
      </c>
      <c r="D1011" s="488" t="s">
        <v>2506</v>
      </c>
      <c r="E1011" s="101">
        <v>43434</v>
      </c>
      <c r="F1011" s="46">
        <v>1459.33</v>
      </c>
    </row>
    <row r="1012" spans="1:11">
      <c r="A1012" s="488" t="s">
        <v>625</v>
      </c>
      <c r="B1012" s="488" t="s">
        <v>626</v>
      </c>
      <c r="C1012" s="757" t="s">
        <v>2293</v>
      </c>
      <c r="D1012" s="488" t="s">
        <v>2733</v>
      </c>
      <c r="E1012" s="101">
        <v>43434</v>
      </c>
      <c r="F1012" s="46">
        <v>3383.06</v>
      </c>
    </row>
    <row r="1013" spans="1:11">
      <c r="A1013" s="488" t="s">
        <v>435</v>
      </c>
      <c r="B1013" s="488" t="s">
        <v>436</v>
      </c>
      <c r="C1013" s="757" t="s">
        <v>2310</v>
      </c>
      <c r="D1013" s="488" t="s">
        <v>2465</v>
      </c>
      <c r="E1013" s="101">
        <v>43434</v>
      </c>
      <c r="F1013" s="46">
        <v>1002.55</v>
      </c>
    </row>
    <row r="1014" spans="1:11">
      <c r="A1014" s="488" t="s">
        <v>2717</v>
      </c>
      <c r="B1014" s="488" t="s">
        <v>2718</v>
      </c>
      <c r="C1014" s="757" t="s">
        <v>2754</v>
      </c>
      <c r="D1014" s="488" t="s">
        <v>2525</v>
      </c>
      <c r="E1014" s="101">
        <v>43434</v>
      </c>
      <c r="F1014" s="46">
        <v>1079.31</v>
      </c>
    </row>
    <row r="1015" spans="1:11">
      <c r="A1015" s="488" t="s">
        <v>2305</v>
      </c>
      <c r="B1015" s="488" t="s">
        <v>538</v>
      </c>
      <c r="C1015" s="757" t="s">
        <v>2306</v>
      </c>
      <c r="D1015" s="488" t="s">
        <v>2472</v>
      </c>
      <c r="E1015" s="101">
        <v>43434</v>
      </c>
      <c r="F1015" s="46">
        <v>4073.07</v>
      </c>
    </row>
    <row r="1016" spans="1:11">
      <c r="A1016" s="488" t="s">
        <v>826</v>
      </c>
      <c r="B1016" s="488" t="s">
        <v>827</v>
      </c>
      <c r="C1016" s="757" t="s">
        <v>2311</v>
      </c>
      <c r="D1016" s="488" t="s">
        <v>2526</v>
      </c>
      <c r="E1016" s="101">
        <v>43434</v>
      </c>
      <c r="F1016" s="46">
        <v>1381.75</v>
      </c>
    </row>
    <row r="1017" spans="1:11">
      <c r="A1017" s="488" t="s">
        <v>630</v>
      </c>
      <c r="B1017" s="488" t="s">
        <v>631</v>
      </c>
      <c r="C1017" s="757" t="s">
        <v>2755</v>
      </c>
      <c r="D1017" s="488" t="s">
        <v>2463</v>
      </c>
      <c r="E1017" s="101">
        <v>43434</v>
      </c>
      <c r="F1017" s="46">
        <v>2653.4</v>
      </c>
    </row>
    <row r="1018" spans="1:11">
      <c r="A1018" s="488" t="s">
        <v>373</v>
      </c>
      <c r="B1018" s="488" t="s">
        <v>374</v>
      </c>
      <c r="C1018" s="757" t="s">
        <v>2295</v>
      </c>
      <c r="D1018" s="488" t="s">
        <v>2471</v>
      </c>
      <c r="E1018" s="101">
        <v>43434</v>
      </c>
      <c r="F1018" s="46">
        <v>1175</v>
      </c>
    </row>
    <row r="1019" spans="1:11">
      <c r="A1019" s="488" t="s">
        <v>373</v>
      </c>
      <c r="B1019" s="488" t="s">
        <v>374</v>
      </c>
      <c r="C1019" s="757" t="s">
        <v>2294</v>
      </c>
      <c r="D1019" s="488" t="s">
        <v>2471</v>
      </c>
      <c r="E1019" s="101">
        <v>43434</v>
      </c>
      <c r="F1019" s="46">
        <v>1519.47</v>
      </c>
    </row>
    <row r="1020" spans="1:11">
      <c r="A1020" s="488" t="s">
        <v>912</v>
      </c>
      <c r="B1020" s="488" t="s">
        <v>544</v>
      </c>
      <c r="C1020" s="757" t="s">
        <v>2756</v>
      </c>
      <c r="D1020" s="488" t="s">
        <v>2463</v>
      </c>
      <c r="E1020" s="101">
        <v>43434</v>
      </c>
      <c r="F1020" s="46">
        <v>1325.92</v>
      </c>
    </row>
    <row r="1021" spans="1:11">
      <c r="A1021" s="488" t="s">
        <v>788</v>
      </c>
      <c r="B1021" s="488" t="s">
        <v>474</v>
      </c>
      <c r="C1021" s="757" t="s">
        <v>1452</v>
      </c>
      <c r="D1021" s="488" t="s">
        <v>2465</v>
      </c>
      <c r="E1021" s="101">
        <v>43434</v>
      </c>
      <c r="F1021" s="46">
        <v>20705.27</v>
      </c>
    </row>
    <row r="1022" spans="1:11">
      <c r="A1022" s="488" t="s">
        <v>2296</v>
      </c>
      <c r="B1022" s="488" t="s">
        <v>639</v>
      </c>
      <c r="C1022" s="757" t="s">
        <v>2297</v>
      </c>
      <c r="D1022" s="488" t="s">
        <v>103</v>
      </c>
      <c r="E1022" s="101">
        <v>43434</v>
      </c>
      <c r="F1022" s="46">
        <v>2086.94</v>
      </c>
    </row>
    <row r="1023" spans="1:11">
      <c r="A1023" s="488" t="s">
        <v>844</v>
      </c>
      <c r="B1023" s="488" t="s">
        <v>845</v>
      </c>
      <c r="C1023" s="757" t="s">
        <v>2757</v>
      </c>
      <c r="D1023" s="488" t="s">
        <v>2468</v>
      </c>
      <c r="E1023" s="101">
        <v>43434</v>
      </c>
      <c r="F1023" s="46">
        <v>2200</v>
      </c>
    </row>
    <row r="1024" spans="1:11">
      <c r="A1024" s="488" t="s">
        <v>642</v>
      </c>
      <c r="B1024" s="488" t="s">
        <v>643</v>
      </c>
      <c r="C1024" s="757" t="s">
        <v>2308</v>
      </c>
      <c r="D1024" s="488" t="s">
        <v>2476</v>
      </c>
      <c r="E1024" s="101">
        <v>43434</v>
      </c>
      <c r="F1024" s="46">
        <v>316.01</v>
      </c>
    </row>
    <row r="1025" spans="1:6">
      <c r="A1025" s="488" t="s">
        <v>486</v>
      </c>
      <c r="B1025" s="488" t="s">
        <v>487</v>
      </c>
      <c r="C1025" s="757" t="s">
        <v>2298</v>
      </c>
      <c r="D1025" s="488" t="s">
        <v>103</v>
      </c>
      <c r="E1025" s="101">
        <v>43434</v>
      </c>
      <c r="F1025" s="46">
        <v>2149.65</v>
      </c>
    </row>
    <row r="1026" spans="1:6">
      <c r="A1026" s="488" t="s">
        <v>646</v>
      </c>
      <c r="B1026" s="488" t="s">
        <v>647</v>
      </c>
      <c r="C1026" s="757" t="s">
        <v>2312</v>
      </c>
      <c r="D1026" s="488" t="s">
        <v>103</v>
      </c>
      <c r="E1026" s="101">
        <v>43434</v>
      </c>
      <c r="F1026" s="46">
        <v>3700.34</v>
      </c>
    </row>
    <row r="1027" spans="1:6">
      <c r="A1027" s="488" t="s">
        <v>648</v>
      </c>
      <c r="B1027" s="488" t="s">
        <v>649</v>
      </c>
      <c r="C1027" s="757" t="s">
        <v>2299</v>
      </c>
      <c r="D1027" s="488" t="s">
        <v>2466</v>
      </c>
      <c r="E1027" s="101">
        <v>43434</v>
      </c>
      <c r="F1027" s="46">
        <v>1611.49</v>
      </c>
    </row>
    <row r="1028" spans="1:6">
      <c r="A1028" s="488" t="s">
        <v>442</v>
      </c>
      <c r="B1028" s="488" t="s">
        <v>443</v>
      </c>
      <c r="C1028" s="757" t="s">
        <v>2758</v>
      </c>
      <c r="D1028" s="488" t="s">
        <v>2472</v>
      </c>
      <c r="E1028" s="101">
        <v>43434</v>
      </c>
      <c r="F1028" s="46">
        <v>599.05999999999995</v>
      </c>
    </row>
    <row r="1029" spans="1:6">
      <c r="A1029" s="488" t="s">
        <v>758</v>
      </c>
      <c r="B1029" s="488" t="s">
        <v>759</v>
      </c>
      <c r="C1029" s="757" t="s">
        <v>2759</v>
      </c>
      <c r="D1029" s="488" t="s">
        <v>2468</v>
      </c>
      <c r="E1029" s="101">
        <v>43434</v>
      </c>
      <c r="F1029" s="46">
        <v>4990</v>
      </c>
    </row>
    <row r="1030" spans="1:6">
      <c r="A1030" s="488" t="s">
        <v>488</v>
      </c>
      <c r="B1030" s="488" t="s">
        <v>489</v>
      </c>
      <c r="C1030" s="757" t="s">
        <v>2760</v>
      </c>
      <c r="D1030" s="488" t="s">
        <v>2536</v>
      </c>
      <c r="E1030" s="101">
        <v>43434</v>
      </c>
      <c r="F1030" s="46">
        <v>2409.19</v>
      </c>
    </row>
    <row r="1031" spans="1:6">
      <c r="A1031" s="488" t="s">
        <v>444</v>
      </c>
      <c r="B1031" s="488" t="s">
        <v>445</v>
      </c>
      <c r="C1031" s="757" t="s">
        <v>2300</v>
      </c>
      <c r="D1031" s="488" t="s">
        <v>2467</v>
      </c>
      <c r="E1031" s="101">
        <v>43434</v>
      </c>
      <c r="F1031" s="46">
        <v>2400</v>
      </c>
    </row>
    <row r="1032" spans="1:6">
      <c r="A1032" s="488" t="s">
        <v>475</v>
      </c>
      <c r="B1032" s="488" t="s">
        <v>476</v>
      </c>
      <c r="C1032" s="757" t="s">
        <v>2301</v>
      </c>
      <c r="D1032" s="488" t="s">
        <v>103</v>
      </c>
      <c r="E1032" s="101">
        <v>43434</v>
      </c>
      <c r="F1032" s="46">
        <v>4549.43</v>
      </c>
    </row>
    <row r="1033" spans="1:6">
      <c r="A1033" s="488" t="s">
        <v>387</v>
      </c>
      <c r="B1033" s="488" t="s">
        <v>388</v>
      </c>
      <c r="C1033" s="757" t="s">
        <v>2302</v>
      </c>
      <c r="D1033" s="488" t="s">
        <v>2468</v>
      </c>
      <c r="E1033" s="101">
        <v>43434</v>
      </c>
      <c r="F1033" s="46">
        <v>1669.6</v>
      </c>
    </row>
    <row r="1034" spans="1:6">
      <c r="A1034" s="488" t="s">
        <v>391</v>
      </c>
      <c r="B1034" s="488" t="s">
        <v>392</v>
      </c>
      <c r="C1034" s="757" t="s">
        <v>2314</v>
      </c>
      <c r="D1034" s="488" t="s">
        <v>2472</v>
      </c>
      <c r="E1034" s="101">
        <v>43434</v>
      </c>
      <c r="F1034" s="46">
        <v>502.54</v>
      </c>
    </row>
    <row r="1035" spans="1:6">
      <c r="A1035" s="488" t="s">
        <v>391</v>
      </c>
      <c r="B1035" s="488" t="s">
        <v>392</v>
      </c>
      <c r="C1035" s="757" t="s">
        <v>2303</v>
      </c>
      <c r="D1035" s="488" t="s">
        <v>2472</v>
      </c>
      <c r="E1035" s="101">
        <v>43434</v>
      </c>
      <c r="F1035" s="46">
        <v>1163.58</v>
      </c>
    </row>
    <row r="1036" spans="1:6">
      <c r="A1036" s="488" t="s">
        <v>575</v>
      </c>
      <c r="B1036" s="488" t="s">
        <v>576</v>
      </c>
      <c r="C1036" s="757" t="s">
        <v>2761</v>
      </c>
      <c r="D1036" s="488" t="s">
        <v>2467</v>
      </c>
      <c r="E1036" s="101">
        <v>43434</v>
      </c>
      <c r="F1036" s="46">
        <v>2797.9</v>
      </c>
    </row>
    <row r="1037" spans="1:6">
      <c r="A1037" s="488" t="s">
        <v>726</v>
      </c>
      <c r="B1037" s="488" t="s">
        <v>727</v>
      </c>
      <c r="C1037" s="757" t="s">
        <v>2313</v>
      </c>
      <c r="D1037" s="488" t="s">
        <v>2466</v>
      </c>
      <c r="E1037" s="101">
        <v>43434</v>
      </c>
      <c r="F1037" s="46">
        <v>2000</v>
      </c>
    </row>
    <row r="1038" spans="1:6">
      <c r="A1038" s="488" t="s">
        <v>863</v>
      </c>
      <c r="B1038" s="488" t="s">
        <v>864</v>
      </c>
      <c r="C1038" s="757" t="s">
        <v>2304</v>
      </c>
      <c r="D1038" s="488" t="s">
        <v>2466</v>
      </c>
      <c r="E1038" s="101">
        <v>43434</v>
      </c>
      <c r="F1038" s="46">
        <v>2070.69</v>
      </c>
    </row>
    <row r="1039" spans="1:6">
      <c r="A1039" s="488" t="s">
        <v>2315</v>
      </c>
      <c r="B1039" s="488" t="s">
        <v>2316</v>
      </c>
      <c r="C1039" s="757" t="s">
        <v>2317</v>
      </c>
      <c r="D1039" s="488" t="s">
        <v>2472</v>
      </c>
      <c r="E1039" s="101">
        <v>43434</v>
      </c>
      <c r="F1039" s="46">
        <v>2501.5500000000002</v>
      </c>
    </row>
    <row r="1040" spans="1:6">
      <c r="A1040" s="488" t="s">
        <v>865</v>
      </c>
      <c r="B1040" s="488" t="s">
        <v>866</v>
      </c>
      <c r="C1040" s="757" t="s">
        <v>2762</v>
      </c>
      <c r="D1040" s="488" t="s">
        <v>2467</v>
      </c>
      <c r="E1040" s="101">
        <v>43434</v>
      </c>
      <c r="F1040" s="46">
        <v>2569.63</v>
      </c>
    </row>
    <row r="1041" spans="1:6">
      <c r="A1041" s="488" t="s">
        <v>764</v>
      </c>
      <c r="B1041" s="488" t="s">
        <v>765</v>
      </c>
      <c r="C1041" s="757" t="s">
        <v>2763</v>
      </c>
      <c r="D1041" s="488" t="s">
        <v>2468</v>
      </c>
      <c r="E1041" s="101">
        <v>43434</v>
      </c>
      <c r="F1041" s="46">
        <v>584.41</v>
      </c>
    </row>
    <row r="1042" spans="1:6">
      <c r="A1042" s="488" t="s">
        <v>393</v>
      </c>
      <c r="B1042" s="488" t="s">
        <v>394</v>
      </c>
      <c r="C1042" s="757" t="s">
        <v>2764</v>
      </c>
      <c r="D1042" s="488" t="s">
        <v>2468</v>
      </c>
      <c r="E1042" s="101">
        <v>43434</v>
      </c>
      <c r="F1042" s="46">
        <v>2080.04</v>
      </c>
    </row>
    <row r="1043" spans="1:6">
      <c r="A1043" s="488" t="s">
        <v>585</v>
      </c>
      <c r="B1043" s="488" t="s">
        <v>586</v>
      </c>
      <c r="C1043" s="757" t="s">
        <v>2765</v>
      </c>
      <c r="D1043" s="488" t="s">
        <v>2476</v>
      </c>
      <c r="E1043" s="101">
        <v>43434</v>
      </c>
      <c r="F1043" s="46">
        <v>1314.53</v>
      </c>
    </row>
    <row r="1044" spans="1:6">
      <c r="A1044" s="488" t="s">
        <v>414</v>
      </c>
      <c r="B1044" s="488" t="s">
        <v>415</v>
      </c>
      <c r="C1044" s="757" t="s">
        <v>2766</v>
      </c>
      <c r="D1044" s="488" t="s">
        <v>2467</v>
      </c>
      <c r="E1044" s="101">
        <v>43436</v>
      </c>
      <c r="F1044" s="46">
        <v>1052.31</v>
      </c>
    </row>
    <row r="1045" spans="1:6">
      <c r="A1045" s="488" t="s">
        <v>457</v>
      </c>
      <c r="B1045" s="488" t="s">
        <v>458</v>
      </c>
      <c r="C1045" s="757" t="s">
        <v>2322</v>
      </c>
      <c r="D1045" s="488" t="s">
        <v>2472</v>
      </c>
      <c r="E1045" s="101">
        <v>43436</v>
      </c>
      <c r="F1045" s="46">
        <v>2000</v>
      </c>
    </row>
    <row r="1046" spans="1:6">
      <c r="A1046" s="488" t="s">
        <v>472</v>
      </c>
      <c r="B1046" s="488" t="s">
        <v>473</v>
      </c>
      <c r="C1046" s="757" t="s">
        <v>2323</v>
      </c>
      <c r="D1046" s="488" t="s">
        <v>2465</v>
      </c>
      <c r="E1046" s="101">
        <v>43437</v>
      </c>
      <c r="F1046" s="46">
        <v>5000</v>
      </c>
    </row>
    <row r="1047" spans="1:6">
      <c r="A1047" s="488" t="s">
        <v>747</v>
      </c>
      <c r="B1047" s="488" t="s">
        <v>748</v>
      </c>
      <c r="C1047" s="757" t="s">
        <v>2324</v>
      </c>
      <c r="D1047" s="488" t="s">
        <v>2496</v>
      </c>
      <c r="E1047" s="101">
        <v>43438</v>
      </c>
      <c r="F1047" s="46">
        <v>657.81</v>
      </c>
    </row>
    <row r="1048" spans="1:6">
      <c r="A1048" s="488" t="s">
        <v>921</v>
      </c>
      <c r="B1048" s="488" t="s">
        <v>719</v>
      </c>
      <c r="C1048" s="757" t="s">
        <v>2767</v>
      </c>
      <c r="D1048" s="488" t="s">
        <v>2463</v>
      </c>
      <c r="E1048" s="101">
        <v>43439</v>
      </c>
      <c r="F1048" s="46">
        <v>4221.55</v>
      </c>
    </row>
    <row r="1049" spans="1:6">
      <c r="A1049" s="488" t="s">
        <v>686</v>
      </c>
      <c r="B1049" s="488" t="s">
        <v>687</v>
      </c>
      <c r="C1049" s="757" t="s">
        <v>2768</v>
      </c>
      <c r="D1049" s="488" t="s">
        <v>2467</v>
      </c>
      <c r="E1049" s="101">
        <v>43439</v>
      </c>
      <c r="F1049" s="46">
        <v>3667.62</v>
      </c>
    </row>
    <row r="1050" spans="1:6">
      <c r="A1050" s="488" t="s">
        <v>897</v>
      </c>
      <c r="B1050" s="488" t="s">
        <v>898</v>
      </c>
      <c r="C1050" s="757" t="s">
        <v>2769</v>
      </c>
      <c r="D1050" s="488" t="s">
        <v>2500</v>
      </c>
      <c r="E1050" s="101">
        <v>43439</v>
      </c>
      <c r="F1050" s="46">
        <v>4830.82</v>
      </c>
    </row>
    <row r="1051" spans="1:6">
      <c r="A1051" s="488" t="s">
        <v>929</v>
      </c>
      <c r="B1051" s="488" t="s">
        <v>529</v>
      </c>
      <c r="C1051" s="757" t="s">
        <v>1450</v>
      </c>
      <c r="D1051" s="488" t="s">
        <v>103</v>
      </c>
      <c r="E1051" s="101">
        <v>43439</v>
      </c>
      <c r="F1051" s="46">
        <v>500</v>
      </c>
    </row>
    <row r="1052" spans="1:6">
      <c r="A1052" s="488" t="s">
        <v>706</v>
      </c>
      <c r="B1052" s="488" t="s">
        <v>707</v>
      </c>
      <c r="C1052" s="757" t="s">
        <v>2770</v>
      </c>
      <c r="D1052" s="488" t="s">
        <v>2464</v>
      </c>
      <c r="E1052" s="101">
        <v>43439</v>
      </c>
      <c r="F1052" s="46">
        <v>1145.2</v>
      </c>
    </row>
    <row r="1053" spans="1:6">
      <c r="A1053" s="488" t="s">
        <v>708</v>
      </c>
      <c r="B1053" s="488" t="s">
        <v>709</v>
      </c>
      <c r="C1053" s="757" t="s">
        <v>2329</v>
      </c>
      <c r="D1053" s="488" t="s">
        <v>2465</v>
      </c>
      <c r="E1053" s="101">
        <v>43439</v>
      </c>
      <c r="F1053" s="46">
        <v>1956.77</v>
      </c>
    </row>
    <row r="1054" spans="1:6">
      <c r="A1054" s="488" t="s">
        <v>2771</v>
      </c>
      <c r="B1054" s="488" t="s">
        <v>923</v>
      </c>
      <c r="C1054" s="757" t="s">
        <v>2772</v>
      </c>
      <c r="D1054" s="488" t="s">
        <v>2463</v>
      </c>
      <c r="E1054" s="101">
        <v>43439</v>
      </c>
      <c r="F1054" s="46">
        <v>1739.69</v>
      </c>
    </row>
    <row r="1055" spans="1:6">
      <c r="A1055" s="488" t="s">
        <v>2717</v>
      </c>
      <c r="B1055" s="488" t="s">
        <v>2718</v>
      </c>
      <c r="C1055" s="757" t="s">
        <v>2773</v>
      </c>
      <c r="D1055" s="488" t="s">
        <v>2525</v>
      </c>
      <c r="E1055" s="101">
        <v>43439</v>
      </c>
      <c r="F1055" s="46">
        <v>1079.31</v>
      </c>
    </row>
    <row r="1056" spans="1:6">
      <c r="A1056" s="488" t="s">
        <v>2326</v>
      </c>
      <c r="B1056" s="488" t="s">
        <v>2327</v>
      </c>
      <c r="C1056" s="757" t="s">
        <v>2328</v>
      </c>
      <c r="D1056" s="488" t="s">
        <v>2487</v>
      </c>
      <c r="E1056" s="101">
        <v>43439</v>
      </c>
      <c r="F1056" s="46">
        <v>507.33</v>
      </c>
    </row>
    <row r="1057" spans="1:6">
      <c r="A1057" s="488" t="s">
        <v>924</v>
      </c>
      <c r="B1057" s="488" t="s">
        <v>715</v>
      </c>
      <c r="C1057" s="757" t="s">
        <v>2440</v>
      </c>
      <c r="D1057" s="488" t="s">
        <v>103</v>
      </c>
      <c r="E1057" s="101">
        <v>43439</v>
      </c>
      <c r="F1057" s="46">
        <v>1956.23</v>
      </c>
    </row>
    <row r="1058" spans="1:6">
      <c r="A1058" s="488" t="s">
        <v>680</v>
      </c>
      <c r="B1058" s="488" t="s">
        <v>681</v>
      </c>
      <c r="C1058" s="757" t="s">
        <v>2325</v>
      </c>
      <c r="D1058" s="488" t="s">
        <v>2535</v>
      </c>
      <c r="E1058" s="101">
        <v>43439</v>
      </c>
      <c r="F1058" s="46">
        <v>4785.41</v>
      </c>
    </row>
    <row r="1059" spans="1:6">
      <c r="A1059" s="488" t="s">
        <v>844</v>
      </c>
      <c r="B1059" s="488" t="s">
        <v>845</v>
      </c>
      <c r="C1059" s="757" t="s">
        <v>2774</v>
      </c>
      <c r="D1059" s="488" t="s">
        <v>2468</v>
      </c>
      <c r="E1059" s="101">
        <v>43439</v>
      </c>
      <c r="F1059" s="46">
        <v>2189.31</v>
      </c>
    </row>
    <row r="1060" spans="1:6">
      <c r="A1060" s="488" t="s">
        <v>698</v>
      </c>
      <c r="B1060" s="488" t="s">
        <v>699</v>
      </c>
      <c r="C1060" s="757" t="s">
        <v>2775</v>
      </c>
      <c r="D1060" s="488" t="s">
        <v>2466</v>
      </c>
      <c r="E1060" s="101">
        <v>43439</v>
      </c>
      <c r="F1060" s="46">
        <v>660.25</v>
      </c>
    </row>
    <row r="1061" spans="1:6">
      <c r="A1061" s="488" t="s">
        <v>493</v>
      </c>
      <c r="B1061" s="488" t="s">
        <v>494</v>
      </c>
      <c r="C1061" s="757" t="s">
        <v>2776</v>
      </c>
      <c r="D1061" s="488" t="s">
        <v>2472</v>
      </c>
      <c r="E1061" s="101">
        <v>43439</v>
      </c>
      <c r="F1061" s="46">
        <v>1834.2</v>
      </c>
    </row>
    <row r="1062" spans="1:6">
      <c r="A1062" s="488" t="s">
        <v>397</v>
      </c>
      <c r="B1062" s="488" t="s">
        <v>398</v>
      </c>
      <c r="C1062" s="757" t="s">
        <v>2777</v>
      </c>
      <c r="D1062" s="488" t="s">
        <v>2499</v>
      </c>
      <c r="E1062" s="101">
        <v>43440</v>
      </c>
      <c r="F1062" s="46">
        <v>481.2</v>
      </c>
    </row>
    <row r="1063" spans="1:6">
      <c r="A1063" s="488" t="s">
        <v>326</v>
      </c>
      <c r="B1063" s="488" t="s">
        <v>327</v>
      </c>
      <c r="C1063" s="757" t="s">
        <v>2330</v>
      </c>
      <c r="D1063" s="488" t="s">
        <v>2468</v>
      </c>
      <c r="E1063" s="101">
        <v>43440</v>
      </c>
      <c r="F1063" s="46">
        <v>2500</v>
      </c>
    </row>
    <row r="1064" spans="1:6">
      <c r="A1064" s="488" t="s">
        <v>929</v>
      </c>
      <c r="B1064" s="488" t="s">
        <v>529</v>
      </c>
      <c r="C1064" s="757" t="s">
        <v>1332</v>
      </c>
      <c r="D1064" s="488" t="s">
        <v>103</v>
      </c>
      <c r="E1064" s="101">
        <v>43441</v>
      </c>
      <c r="F1064" s="46">
        <v>1155</v>
      </c>
    </row>
    <row r="1065" spans="1:6">
      <c r="A1065" s="488" t="s">
        <v>414</v>
      </c>
      <c r="B1065" s="488" t="s">
        <v>415</v>
      </c>
      <c r="C1065" s="757" t="s">
        <v>2778</v>
      </c>
      <c r="D1065" s="488" t="s">
        <v>2467</v>
      </c>
      <c r="E1065" s="101">
        <v>43441</v>
      </c>
      <c r="F1065" s="46">
        <v>1052.31</v>
      </c>
    </row>
    <row r="1066" spans="1:6">
      <c r="A1066" s="488" t="s">
        <v>2685</v>
      </c>
      <c r="B1066" s="488" t="s">
        <v>2686</v>
      </c>
      <c r="C1066" s="757" t="s">
        <v>2779</v>
      </c>
      <c r="D1066" s="488" t="s">
        <v>2467</v>
      </c>
      <c r="E1066" s="101">
        <v>43442</v>
      </c>
      <c r="F1066" s="46">
        <v>2450.7600000000002</v>
      </c>
    </row>
    <row r="1067" spans="1:6">
      <c r="A1067" s="488" t="s">
        <v>2331</v>
      </c>
      <c r="B1067" s="488" t="s">
        <v>705</v>
      </c>
      <c r="C1067" s="757" t="s">
        <v>2332</v>
      </c>
      <c r="D1067" s="488" t="s">
        <v>2486</v>
      </c>
      <c r="E1067" s="101">
        <v>43442</v>
      </c>
      <c r="F1067" s="46">
        <v>2534.5100000000002</v>
      </c>
    </row>
    <row r="1068" spans="1:6">
      <c r="A1068" s="488" t="s">
        <v>929</v>
      </c>
      <c r="B1068" s="488" t="s">
        <v>529</v>
      </c>
      <c r="C1068" s="757" t="s">
        <v>2333</v>
      </c>
      <c r="D1068" s="488" t="s">
        <v>103</v>
      </c>
      <c r="E1068" s="101">
        <v>43444</v>
      </c>
      <c r="F1068" s="46">
        <v>1145</v>
      </c>
    </row>
    <row r="1069" spans="1:6">
      <c r="A1069" s="488" t="s">
        <v>435</v>
      </c>
      <c r="B1069" s="488" t="s">
        <v>436</v>
      </c>
      <c r="C1069" s="757" t="s">
        <v>2336</v>
      </c>
      <c r="D1069" s="488" t="s">
        <v>2465</v>
      </c>
      <c r="E1069" s="101">
        <v>43444</v>
      </c>
      <c r="F1069" s="46">
        <v>1002.55</v>
      </c>
    </row>
    <row r="1070" spans="1:6">
      <c r="A1070" s="488" t="s">
        <v>882</v>
      </c>
      <c r="B1070" s="488" t="s">
        <v>321</v>
      </c>
      <c r="C1070" s="757" t="s">
        <v>2334</v>
      </c>
      <c r="D1070" s="488" t="s">
        <v>103</v>
      </c>
      <c r="E1070" s="101">
        <v>43444</v>
      </c>
      <c r="F1070" s="46">
        <v>1892.27</v>
      </c>
    </row>
    <row r="1071" spans="1:6">
      <c r="A1071" s="488" t="s">
        <v>495</v>
      </c>
      <c r="B1071" s="488" t="s">
        <v>496</v>
      </c>
      <c r="C1071" s="757" t="s">
        <v>2780</v>
      </c>
      <c r="D1071" s="488" t="s">
        <v>2476</v>
      </c>
      <c r="E1071" s="101">
        <v>43444</v>
      </c>
      <c r="F1071" s="46">
        <v>6073.31</v>
      </c>
    </row>
    <row r="1072" spans="1:6">
      <c r="A1072" s="488" t="s">
        <v>444</v>
      </c>
      <c r="B1072" s="488" t="s">
        <v>445</v>
      </c>
      <c r="C1072" s="757" t="s">
        <v>1874</v>
      </c>
      <c r="D1072" s="488" t="s">
        <v>2467</v>
      </c>
      <c r="E1072" s="101">
        <v>43444</v>
      </c>
      <c r="F1072" s="46">
        <v>2400</v>
      </c>
    </row>
    <row r="1073" spans="1:6">
      <c r="A1073" s="488" t="s">
        <v>892</v>
      </c>
      <c r="B1073" s="488" t="s">
        <v>893</v>
      </c>
      <c r="C1073" s="757" t="s">
        <v>2335</v>
      </c>
      <c r="D1073" s="488" t="s">
        <v>2472</v>
      </c>
      <c r="E1073" s="101">
        <v>43444</v>
      </c>
      <c r="F1073" s="46">
        <v>6707.82</v>
      </c>
    </row>
    <row r="1074" spans="1:6">
      <c r="A1074" s="488" t="s">
        <v>493</v>
      </c>
      <c r="B1074" s="488" t="s">
        <v>494</v>
      </c>
      <c r="C1074" s="757" t="s">
        <v>2781</v>
      </c>
      <c r="D1074" s="488" t="s">
        <v>2472</v>
      </c>
      <c r="E1074" s="101">
        <v>43444</v>
      </c>
      <c r="F1074" s="46">
        <v>1834.2</v>
      </c>
    </row>
    <row r="1075" spans="1:6">
      <c r="A1075" s="488" t="s">
        <v>726</v>
      </c>
      <c r="B1075" s="488" t="s">
        <v>727</v>
      </c>
      <c r="C1075" s="757" t="s">
        <v>2337</v>
      </c>
      <c r="D1075" s="488" t="s">
        <v>2466</v>
      </c>
      <c r="E1075" s="101">
        <v>43444</v>
      </c>
      <c r="F1075" s="46">
        <v>2000</v>
      </c>
    </row>
    <row r="1076" spans="1:6">
      <c r="A1076" s="488" t="s">
        <v>466</v>
      </c>
      <c r="B1076" s="488" t="s">
        <v>467</v>
      </c>
      <c r="C1076" s="757" t="s">
        <v>2782</v>
      </c>
      <c r="D1076" s="488" t="s">
        <v>2468</v>
      </c>
      <c r="E1076" s="101">
        <v>43444</v>
      </c>
      <c r="F1076" s="46">
        <v>1046.6600000000001</v>
      </c>
    </row>
    <row r="1077" spans="1:6">
      <c r="A1077" s="488" t="s">
        <v>2315</v>
      </c>
      <c r="B1077" s="488" t="s">
        <v>2316</v>
      </c>
      <c r="C1077" s="757" t="s">
        <v>2338</v>
      </c>
      <c r="D1077" s="488" t="s">
        <v>2472</v>
      </c>
      <c r="E1077" s="101">
        <v>43444</v>
      </c>
      <c r="F1077" s="46">
        <v>2000</v>
      </c>
    </row>
    <row r="1078" spans="1:6">
      <c r="A1078" s="488" t="s">
        <v>397</v>
      </c>
      <c r="B1078" s="488" t="s">
        <v>398</v>
      </c>
      <c r="C1078" s="757" t="s">
        <v>2783</v>
      </c>
      <c r="D1078" s="488" t="s">
        <v>2499</v>
      </c>
      <c r="E1078" s="101">
        <v>43445</v>
      </c>
      <c r="F1078" s="46">
        <v>481.2</v>
      </c>
    </row>
    <row r="1079" spans="1:6">
      <c r="A1079" s="488" t="s">
        <v>373</v>
      </c>
      <c r="B1079" s="488" t="s">
        <v>374</v>
      </c>
      <c r="C1079" s="757" t="s">
        <v>2339</v>
      </c>
      <c r="D1079" s="488" t="s">
        <v>2471</v>
      </c>
      <c r="E1079" s="101">
        <v>43445</v>
      </c>
      <c r="F1079" s="46">
        <v>1460</v>
      </c>
    </row>
    <row r="1080" spans="1:6">
      <c r="A1080" s="488" t="s">
        <v>2695</v>
      </c>
      <c r="B1080" s="488" t="s">
        <v>2696</v>
      </c>
      <c r="C1080" s="757" t="s">
        <v>2784</v>
      </c>
      <c r="D1080" s="488" t="s">
        <v>2698</v>
      </c>
      <c r="E1080" s="101">
        <v>43446</v>
      </c>
      <c r="F1080" s="46">
        <v>3300</v>
      </c>
    </row>
    <row r="1081" spans="1:6">
      <c r="A1081" s="488" t="s">
        <v>749</v>
      </c>
      <c r="B1081" s="488" t="s">
        <v>330</v>
      </c>
      <c r="C1081" s="757" t="s">
        <v>2785</v>
      </c>
      <c r="D1081" s="488" t="s">
        <v>2472</v>
      </c>
      <c r="E1081" s="101">
        <v>43446</v>
      </c>
      <c r="F1081" s="46">
        <v>735.43</v>
      </c>
    </row>
    <row r="1082" spans="1:6">
      <c r="A1082" s="488" t="s">
        <v>326</v>
      </c>
      <c r="B1082" s="488" t="s">
        <v>327</v>
      </c>
      <c r="C1082" s="757" t="s">
        <v>2340</v>
      </c>
      <c r="D1082" s="488" t="s">
        <v>2468</v>
      </c>
      <c r="E1082" s="101">
        <v>43447</v>
      </c>
      <c r="F1082" s="46">
        <v>2500</v>
      </c>
    </row>
    <row r="1083" spans="1:6">
      <c r="A1083" s="488" t="s">
        <v>397</v>
      </c>
      <c r="B1083" s="488" t="s">
        <v>398</v>
      </c>
      <c r="C1083" s="757" t="s">
        <v>2786</v>
      </c>
      <c r="D1083" s="488" t="s">
        <v>2499</v>
      </c>
      <c r="E1083" s="101">
        <v>43448</v>
      </c>
      <c r="F1083" s="46">
        <v>481.97</v>
      </c>
    </row>
    <row r="1084" spans="1:6">
      <c r="A1084" s="488" t="s">
        <v>326</v>
      </c>
      <c r="B1084" s="488" t="s">
        <v>327</v>
      </c>
      <c r="C1084" s="757" t="s">
        <v>2341</v>
      </c>
      <c r="D1084" s="488" t="s">
        <v>2468</v>
      </c>
      <c r="E1084" s="101">
        <v>43448</v>
      </c>
      <c r="F1084" s="46">
        <v>2000</v>
      </c>
    </row>
    <row r="1085" spans="1:6">
      <c r="A1085" s="488" t="s">
        <v>844</v>
      </c>
      <c r="B1085" s="488" t="s">
        <v>845</v>
      </c>
      <c r="C1085" s="757" t="s">
        <v>2787</v>
      </c>
      <c r="D1085" s="488" t="s">
        <v>2468</v>
      </c>
      <c r="E1085" s="101">
        <v>43448</v>
      </c>
      <c r="F1085" s="46">
        <v>2000</v>
      </c>
    </row>
    <row r="1086" spans="1:6">
      <c r="A1086" s="488" t="s">
        <v>926</v>
      </c>
      <c r="B1086" s="488" t="s">
        <v>927</v>
      </c>
      <c r="C1086" s="757" t="s">
        <v>2342</v>
      </c>
      <c r="D1086" s="488" t="s">
        <v>2470</v>
      </c>
      <c r="E1086" s="101">
        <v>43449</v>
      </c>
      <c r="F1086" s="46">
        <v>2933</v>
      </c>
    </row>
    <row r="1087" spans="1:6">
      <c r="A1087" s="488" t="s">
        <v>897</v>
      </c>
      <c r="B1087" s="488" t="s">
        <v>898</v>
      </c>
      <c r="C1087" s="757" t="s">
        <v>2788</v>
      </c>
      <c r="D1087" s="488" t="s">
        <v>2500</v>
      </c>
      <c r="E1087" s="101">
        <v>43449</v>
      </c>
      <c r="F1087" s="46">
        <v>3000</v>
      </c>
    </row>
    <row r="1088" spans="1:6">
      <c r="A1088" s="488" t="s">
        <v>362</v>
      </c>
      <c r="B1088" s="488" t="s">
        <v>363</v>
      </c>
      <c r="C1088" s="757" t="s">
        <v>2343</v>
      </c>
      <c r="D1088" s="488" t="s">
        <v>2469</v>
      </c>
      <c r="E1088" s="101">
        <v>43449</v>
      </c>
      <c r="F1088" s="46">
        <v>5448.36</v>
      </c>
    </row>
    <row r="1089" spans="1:6">
      <c r="A1089" s="488" t="s">
        <v>2789</v>
      </c>
      <c r="B1089" s="488" t="s">
        <v>910</v>
      </c>
      <c r="C1089" s="757" t="s">
        <v>2790</v>
      </c>
      <c r="D1089" s="488" t="s">
        <v>2500</v>
      </c>
      <c r="E1089" s="101">
        <v>43449</v>
      </c>
      <c r="F1089" s="46">
        <v>6509.57</v>
      </c>
    </row>
    <row r="1090" spans="1:6">
      <c r="A1090" s="488" t="s">
        <v>435</v>
      </c>
      <c r="B1090" s="488" t="s">
        <v>436</v>
      </c>
      <c r="C1090" s="757" t="s">
        <v>2346</v>
      </c>
      <c r="D1090" s="488" t="s">
        <v>2465</v>
      </c>
      <c r="E1090" s="101">
        <v>43449</v>
      </c>
      <c r="F1090" s="46">
        <v>1002.55</v>
      </c>
    </row>
    <row r="1091" spans="1:6">
      <c r="A1091" s="488" t="s">
        <v>375</v>
      </c>
      <c r="B1091" s="488" t="s">
        <v>376</v>
      </c>
      <c r="C1091" s="757" t="s">
        <v>2791</v>
      </c>
      <c r="D1091" s="488" t="s">
        <v>2511</v>
      </c>
      <c r="E1091" s="101">
        <v>43449</v>
      </c>
      <c r="F1091" s="46">
        <v>600</v>
      </c>
    </row>
    <row r="1092" spans="1:6">
      <c r="A1092" s="488" t="s">
        <v>379</v>
      </c>
      <c r="B1092" s="488" t="s">
        <v>380</v>
      </c>
      <c r="C1092" s="757" t="s">
        <v>2344</v>
      </c>
      <c r="D1092" s="488" t="s">
        <v>2472</v>
      </c>
      <c r="E1092" s="101">
        <v>43449</v>
      </c>
      <c r="F1092" s="46">
        <v>1703.2</v>
      </c>
    </row>
    <row r="1093" spans="1:6">
      <c r="A1093" s="488" t="s">
        <v>758</v>
      </c>
      <c r="B1093" s="488" t="s">
        <v>759</v>
      </c>
      <c r="C1093" s="757" t="s">
        <v>2792</v>
      </c>
      <c r="D1093" s="488" t="s">
        <v>2468</v>
      </c>
      <c r="E1093" s="101">
        <v>43449</v>
      </c>
      <c r="F1093" s="46">
        <v>4491.29</v>
      </c>
    </row>
    <row r="1094" spans="1:6">
      <c r="A1094" s="488" t="s">
        <v>391</v>
      </c>
      <c r="B1094" s="488" t="s">
        <v>392</v>
      </c>
      <c r="C1094" s="757" t="s">
        <v>2345</v>
      </c>
      <c r="D1094" s="488" t="s">
        <v>2472</v>
      </c>
      <c r="E1094" s="101">
        <v>43449</v>
      </c>
      <c r="F1094" s="46">
        <v>1163.58</v>
      </c>
    </row>
    <row r="1095" spans="1:6">
      <c r="A1095" s="488" t="s">
        <v>493</v>
      </c>
      <c r="B1095" s="488" t="s">
        <v>494</v>
      </c>
      <c r="C1095" s="757" t="s">
        <v>2793</v>
      </c>
      <c r="D1095" s="488" t="s">
        <v>2472</v>
      </c>
      <c r="E1095" s="101">
        <v>43449</v>
      </c>
      <c r="F1095" s="46">
        <v>1834.21</v>
      </c>
    </row>
    <row r="1096" spans="1:6">
      <c r="A1096" s="488" t="s">
        <v>865</v>
      </c>
      <c r="B1096" s="488" t="s">
        <v>866</v>
      </c>
      <c r="C1096" s="757" t="s">
        <v>1941</v>
      </c>
      <c r="D1096" s="488" t="s">
        <v>2467</v>
      </c>
      <c r="E1096" s="101">
        <v>43449</v>
      </c>
      <c r="F1096" s="46">
        <v>2385.67</v>
      </c>
    </row>
    <row r="1097" spans="1:6">
      <c r="A1097" s="488" t="s">
        <v>453</v>
      </c>
      <c r="B1097" s="488" t="s">
        <v>454</v>
      </c>
      <c r="C1097" s="757" t="s">
        <v>2347</v>
      </c>
      <c r="D1097" s="488" t="s">
        <v>2467</v>
      </c>
      <c r="E1097" s="101">
        <v>43450</v>
      </c>
      <c r="F1097" s="46">
        <v>945.82</v>
      </c>
    </row>
    <row r="1098" spans="1:6">
      <c r="A1098" s="488" t="s">
        <v>472</v>
      </c>
      <c r="B1098" s="488" t="s">
        <v>473</v>
      </c>
      <c r="C1098" s="757" t="s">
        <v>2348</v>
      </c>
      <c r="D1098" s="488" t="s">
        <v>2465</v>
      </c>
      <c r="E1098" s="101">
        <v>43451</v>
      </c>
      <c r="F1098" s="46">
        <v>4000</v>
      </c>
    </row>
    <row r="1099" spans="1:6">
      <c r="A1099" s="488" t="s">
        <v>648</v>
      </c>
      <c r="B1099" s="488" t="s">
        <v>649</v>
      </c>
      <c r="C1099" s="757" t="s">
        <v>2349</v>
      </c>
      <c r="D1099" s="488" t="s">
        <v>103</v>
      </c>
      <c r="E1099" s="101">
        <v>43451</v>
      </c>
      <c r="F1099" s="46">
        <v>1611.49</v>
      </c>
    </row>
    <row r="1100" spans="1:6">
      <c r="A1100" s="488" t="s">
        <v>479</v>
      </c>
      <c r="B1100" s="488" t="s">
        <v>480</v>
      </c>
      <c r="C1100" s="757" t="s">
        <v>2794</v>
      </c>
      <c r="D1100" s="488" t="s">
        <v>2471</v>
      </c>
      <c r="E1100" s="101">
        <v>43452</v>
      </c>
      <c r="F1100" s="46">
        <v>796.25</v>
      </c>
    </row>
    <row r="1101" spans="1:6">
      <c r="A1101" s="488" t="s">
        <v>373</v>
      </c>
      <c r="B1101" s="488" t="s">
        <v>374</v>
      </c>
      <c r="C1101" s="757" t="s">
        <v>2350</v>
      </c>
      <c r="D1101" s="488" t="s">
        <v>2471</v>
      </c>
      <c r="E1101" s="101">
        <v>43452</v>
      </c>
      <c r="F1101" s="46">
        <v>1460</v>
      </c>
    </row>
    <row r="1102" spans="1:6">
      <c r="A1102" s="488" t="s">
        <v>743</v>
      </c>
      <c r="B1102" s="488" t="s">
        <v>374</v>
      </c>
      <c r="C1102" s="757" t="s">
        <v>1586</v>
      </c>
      <c r="D1102" s="488" t="s">
        <v>103</v>
      </c>
      <c r="E1102" s="101">
        <v>43453</v>
      </c>
      <c r="F1102" s="46">
        <v>1650</v>
      </c>
    </row>
    <row r="1103" spans="1:6">
      <c r="A1103" s="488" t="s">
        <v>326</v>
      </c>
      <c r="B1103" s="488" t="s">
        <v>327</v>
      </c>
      <c r="C1103" s="757" t="s">
        <v>2351</v>
      </c>
      <c r="D1103" s="488" t="s">
        <v>2468</v>
      </c>
      <c r="E1103" s="101">
        <v>43454</v>
      </c>
      <c r="F1103" s="46">
        <v>2500</v>
      </c>
    </row>
    <row r="1104" spans="1:6">
      <c r="A1104" s="488" t="s">
        <v>356</v>
      </c>
      <c r="B1104" s="488" t="s">
        <v>357</v>
      </c>
      <c r="C1104" s="757" t="s">
        <v>2353</v>
      </c>
      <c r="D1104" s="488" t="s">
        <v>2465</v>
      </c>
      <c r="E1104" s="101">
        <v>43454</v>
      </c>
      <c r="F1104" s="46">
        <v>3382.06</v>
      </c>
    </row>
    <row r="1105" spans="1:6">
      <c r="A1105" s="488" t="s">
        <v>479</v>
      </c>
      <c r="B1105" s="488" t="s">
        <v>480</v>
      </c>
      <c r="C1105" s="757" t="s">
        <v>2795</v>
      </c>
      <c r="D1105" s="488" t="s">
        <v>2471</v>
      </c>
      <c r="E1105" s="101">
        <v>43454</v>
      </c>
      <c r="F1105" s="46">
        <v>825</v>
      </c>
    </row>
    <row r="1106" spans="1:6">
      <c r="A1106" s="488" t="s">
        <v>375</v>
      </c>
      <c r="B1106" s="488" t="s">
        <v>376</v>
      </c>
      <c r="C1106" s="757" t="s">
        <v>2796</v>
      </c>
      <c r="D1106" s="488" t="s">
        <v>2496</v>
      </c>
      <c r="E1106" s="101">
        <v>43454</v>
      </c>
      <c r="F1106" s="46">
        <v>400</v>
      </c>
    </row>
    <row r="1107" spans="1:6">
      <c r="A1107" s="488" t="s">
        <v>444</v>
      </c>
      <c r="B1107" s="488" t="s">
        <v>445</v>
      </c>
      <c r="C1107" s="757" t="s">
        <v>2352</v>
      </c>
      <c r="D1107" s="488" t="s">
        <v>2467</v>
      </c>
      <c r="E1107" s="101">
        <v>43454</v>
      </c>
      <c r="F1107" s="46">
        <v>2372.4499999999998</v>
      </c>
    </row>
    <row r="1108" spans="1:6">
      <c r="A1108" s="488" t="s">
        <v>2354</v>
      </c>
      <c r="B1108" s="488" t="s">
        <v>727</v>
      </c>
      <c r="C1108" s="757" t="s">
        <v>2355</v>
      </c>
      <c r="D1108" s="488" t="s">
        <v>2466</v>
      </c>
      <c r="E1108" s="101">
        <v>43454</v>
      </c>
      <c r="F1108" s="46">
        <v>2492.8000000000002</v>
      </c>
    </row>
    <row r="1109" spans="1:6">
      <c r="A1109" s="488" t="s">
        <v>479</v>
      </c>
      <c r="B1109" s="488" t="s">
        <v>480</v>
      </c>
      <c r="C1109" s="757" t="s">
        <v>2797</v>
      </c>
      <c r="D1109" s="488" t="s">
        <v>2471</v>
      </c>
      <c r="E1109" s="101">
        <v>43455</v>
      </c>
      <c r="F1109" s="46">
        <v>825</v>
      </c>
    </row>
    <row r="1110" spans="1:6">
      <c r="A1110" s="488" t="s">
        <v>2695</v>
      </c>
      <c r="B1110" s="488" t="s">
        <v>2696</v>
      </c>
      <c r="C1110" s="757" t="s">
        <v>1825</v>
      </c>
      <c r="D1110" s="488" t="s">
        <v>2698</v>
      </c>
      <c r="E1110" s="101">
        <v>43456</v>
      </c>
      <c r="F1110" s="46">
        <v>3300</v>
      </c>
    </row>
    <row r="1111" spans="1:6">
      <c r="A1111" s="488" t="s">
        <v>479</v>
      </c>
      <c r="B1111" s="488" t="s">
        <v>480</v>
      </c>
      <c r="C1111" s="757" t="s">
        <v>1457</v>
      </c>
      <c r="D1111" s="488" t="s">
        <v>2471</v>
      </c>
      <c r="E1111" s="101">
        <v>43456</v>
      </c>
      <c r="F1111" s="46">
        <v>825</v>
      </c>
    </row>
    <row r="1112" spans="1:6">
      <c r="A1112" s="488" t="s">
        <v>479</v>
      </c>
      <c r="B1112" s="488" t="s">
        <v>480</v>
      </c>
      <c r="C1112" s="757" t="s">
        <v>2798</v>
      </c>
      <c r="D1112" s="488" t="s">
        <v>2471</v>
      </c>
      <c r="E1112" s="101">
        <v>43457</v>
      </c>
      <c r="F1112" s="46">
        <v>825</v>
      </c>
    </row>
    <row r="1113" spans="1:6">
      <c r="A1113" s="488" t="s">
        <v>648</v>
      </c>
      <c r="B1113" s="488" t="s">
        <v>649</v>
      </c>
      <c r="C1113" s="757" t="s">
        <v>2356</v>
      </c>
      <c r="D1113" s="488" t="s">
        <v>2466</v>
      </c>
      <c r="E1113" s="101">
        <v>43457</v>
      </c>
      <c r="F1113" s="46">
        <v>622.77</v>
      </c>
    </row>
    <row r="1114" spans="1:6">
      <c r="A1114" s="488" t="s">
        <v>479</v>
      </c>
      <c r="B1114" s="488" t="s">
        <v>480</v>
      </c>
      <c r="C1114" s="757" t="s">
        <v>1441</v>
      </c>
      <c r="D1114" s="488" t="s">
        <v>2471</v>
      </c>
      <c r="E1114" s="101">
        <v>43458</v>
      </c>
      <c r="F1114" s="46">
        <v>825</v>
      </c>
    </row>
    <row r="1115" spans="1:6">
      <c r="A1115" s="488" t="s">
        <v>326</v>
      </c>
      <c r="B1115" s="488" t="s">
        <v>327</v>
      </c>
      <c r="C1115" s="757" t="s">
        <v>2359</v>
      </c>
      <c r="D1115" s="488" t="s">
        <v>2468</v>
      </c>
      <c r="E1115" s="101">
        <v>43459</v>
      </c>
      <c r="F1115" s="46">
        <v>2000</v>
      </c>
    </row>
    <row r="1116" spans="1:6">
      <c r="A1116" s="488" t="s">
        <v>926</v>
      </c>
      <c r="B1116" s="488" t="s">
        <v>927</v>
      </c>
      <c r="C1116" s="757" t="s">
        <v>2357</v>
      </c>
      <c r="D1116" s="488" t="s">
        <v>2470</v>
      </c>
      <c r="E1116" s="101">
        <v>43459</v>
      </c>
      <c r="F1116" s="46">
        <v>2941.09</v>
      </c>
    </row>
    <row r="1117" spans="1:6">
      <c r="A1117" s="488" t="s">
        <v>479</v>
      </c>
      <c r="B1117" s="488" t="s">
        <v>480</v>
      </c>
      <c r="C1117" s="757" t="s">
        <v>2799</v>
      </c>
      <c r="D1117" s="488" t="s">
        <v>2471</v>
      </c>
      <c r="E1117" s="101">
        <v>43459</v>
      </c>
      <c r="F1117" s="46">
        <v>825</v>
      </c>
    </row>
    <row r="1118" spans="1:6">
      <c r="A1118" s="488" t="s">
        <v>486</v>
      </c>
      <c r="B1118" s="488" t="s">
        <v>487</v>
      </c>
      <c r="C1118" s="757" t="s">
        <v>2800</v>
      </c>
      <c r="D1118" s="488" t="s">
        <v>103</v>
      </c>
      <c r="E1118" s="101">
        <v>43459</v>
      </c>
      <c r="F1118" s="46">
        <v>4449</v>
      </c>
    </row>
    <row r="1119" spans="1:6">
      <c r="A1119" s="488" t="s">
        <v>379</v>
      </c>
      <c r="B1119" s="488" t="s">
        <v>380</v>
      </c>
      <c r="C1119" s="757" t="s">
        <v>2358</v>
      </c>
      <c r="D1119" s="488" t="s">
        <v>2472</v>
      </c>
      <c r="E1119" s="101">
        <v>43459</v>
      </c>
      <c r="F1119" s="46">
        <v>1218.81</v>
      </c>
    </row>
    <row r="1120" spans="1:6">
      <c r="A1120" s="488" t="s">
        <v>479</v>
      </c>
      <c r="B1120" s="488" t="s">
        <v>480</v>
      </c>
      <c r="C1120" s="757" t="s">
        <v>1481</v>
      </c>
      <c r="D1120" s="488" t="s">
        <v>2471</v>
      </c>
      <c r="E1120" s="101">
        <v>43460</v>
      </c>
      <c r="F1120" s="46">
        <v>825</v>
      </c>
    </row>
    <row r="1121" spans="1:6">
      <c r="A1121" s="488" t="s">
        <v>931</v>
      </c>
      <c r="B1121" s="488" t="s">
        <v>327</v>
      </c>
      <c r="C1121" s="757" t="s">
        <v>2360</v>
      </c>
      <c r="D1121" s="488" t="s">
        <v>2468</v>
      </c>
      <c r="E1121" s="101">
        <v>43461</v>
      </c>
      <c r="F1121" s="46">
        <v>2500</v>
      </c>
    </row>
    <row r="1122" spans="1:6">
      <c r="A1122" s="488" t="s">
        <v>479</v>
      </c>
      <c r="B1122" s="488" t="s">
        <v>480</v>
      </c>
      <c r="C1122" s="757" t="s">
        <v>2801</v>
      </c>
      <c r="D1122" s="488" t="s">
        <v>2471</v>
      </c>
      <c r="E1122" s="101">
        <v>43461</v>
      </c>
      <c r="F1122" s="46">
        <v>825</v>
      </c>
    </row>
    <row r="1123" spans="1:6">
      <c r="A1123" s="488" t="s">
        <v>501</v>
      </c>
      <c r="B1123" s="488" t="s">
        <v>502</v>
      </c>
      <c r="C1123" s="757" t="s">
        <v>2361</v>
      </c>
      <c r="D1123" s="488" t="s">
        <v>2472</v>
      </c>
      <c r="E1123" s="101">
        <v>43461</v>
      </c>
      <c r="F1123" s="46">
        <v>10614.89</v>
      </c>
    </row>
    <row r="1124" spans="1:6">
      <c r="A1124" s="488" t="s">
        <v>479</v>
      </c>
      <c r="B1124" s="488" t="s">
        <v>480</v>
      </c>
      <c r="C1124" s="757" t="s">
        <v>1871</v>
      </c>
      <c r="D1124" s="488" t="s">
        <v>2471</v>
      </c>
      <c r="E1124" s="101">
        <v>43462</v>
      </c>
      <c r="F1124" s="46">
        <v>825</v>
      </c>
    </row>
    <row r="1125" spans="1:6">
      <c r="A1125" s="488" t="s">
        <v>743</v>
      </c>
      <c r="B1125" s="488" t="s">
        <v>374</v>
      </c>
      <c r="C1125" s="757" t="s">
        <v>2802</v>
      </c>
      <c r="D1125" s="488" t="s">
        <v>103</v>
      </c>
      <c r="E1125" s="101">
        <v>43462</v>
      </c>
      <c r="F1125" s="46">
        <v>1650</v>
      </c>
    </row>
    <row r="1126" spans="1:6">
      <c r="A1126" s="488" t="s">
        <v>897</v>
      </c>
      <c r="B1126" s="488" t="s">
        <v>898</v>
      </c>
      <c r="C1126" s="757" t="s">
        <v>2803</v>
      </c>
      <c r="D1126" s="488" t="s">
        <v>2500</v>
      </c>
      <c r="E1126" s="101">
        <v>43464</v>
      </c>
      <c r="F1126" s="46">
        <v>3598.96</v>
      </c>
    </row>
    <row r="1127" spans="1:6">
      <c r="A1127" s="488" t="s">
        <v>479</v>
      </c>
      <c r="B1127" s="488" t="s">
        <v>480</v>
      </c>
      <c r="C1127" s="757" t="s">
        <v>2446</v>
      </c>
      <c r="D1127" s="488" t="s">
        <v>2471</v>
      </c>
      <c r="E1127" s="101">
        <v>43464</v>
      </c>
      <c r="F1127" s="46">
        <v>825</v>
      </c>
    </row>
    <row r="1128" spans="1:6">
      <c r="A1128" s="488" t="s">
        <v>320</v>
      </c>
      <c r="B1128" s="488" t="s">
        <v>321</v>
      </c>
      <c r="C1128" s="757" t="s">
        <v>2804</v>
      </c>
      <c r="D1128" s="488" t="s">
        <v>2471</v>
      </c>
      <c r="E1128" s="101">
        <v>43464</v>
      </c>
      <c r="F1128" s="46">
        <v>1500</v>
      </c>
    </row>
    <row r="1129" spans="1:6">
      <c r="A1129" s="488" t="s">
        <v>453</v>
      </c>
      <c r="B1129" s="488" t="s">
        <v>454</v>
      </c>
      <c r="C1129" s="757" t="s">
        <v>2362</v>
      </c>
      <c r="D1129" s="488" t="s">
        <v>2467</v>
      </c>
      <c r="E1129" s="101">
        <v>43464</v>
      </c>
      <c r="F1129" s="46">
        <v>633.67999999999995</v>
      </c>
    </row>
    <row r="1130" spans="1:6">
      <c r="A1130" s="488" t="s">
        <v>865</v>
      </c>
      <c r="B1130" s="488" t="s">
        <v>866</v>
      </c>
      <c r="C1130" s="757" t="s">
        <v>1875</v>
      </c>
      <c r="D1130" s="488" t="s">
        <v>2467</v>
      </c>
      <c r="E1130" s="101">
        <v>43464</v>
      </c>
      <c r="F1130" s="46">
        <v>2385.67</v>
      </c>
    </row>
    <row r="1131" spans="1:6">
      <c r="A1131" s="488" t="s">
        <v>326</v>
      </c>
      <c r="B1131" s="488" t="s">
        <v>327</v>
      </c>
      <c r="C1131" s="757" t="s">
        <v>2365</v>
      </c>
      <c r="D1131" s="488" t="s">
        <v>2468</v>
      </c>
      <c r="E1131" s="101">
        <v>43465</v>
      </c>
      <c r="F1131" s="46">
        <v>2000</v>
      </c>
    </row>
    <row r="1132" spans="1:6">
      <c r="A1132" s="488" t="s">
        <v>2695</v>
      </c>
      <c r="B1132" s="488" t="s">
        <v>2696</v>
      </c>
      <c r="C1132" s="757" t="s">
        <v>2805</v>
      </c>
      <c r="D1132" s="488" t="s">
        <v>2698</v>
      </c>
      <c r="E1132" s="101">
        <v>43465</v>
      </c>
      <c r="F1132" s="46">
        <v>3250.59</v>
      </c>
    </row>
    <row r="1133" spans="1:6">
      <c r="A1133" s="488" t="s">
        <v>627</v>
      </c>
      <c r="B1133" s="488" t="s">
        <v>628</v>
      </c>
      <c r="C1133" s="757" t="s">
        <v>2363</v>
      </c>
      <c r="D1133" s="488" t="s">
        <v>2501</v>
      </c>
      <c r="E1133" s="101">
        <v>43465</v>
      </c>
      <c r="F1133" s="46">
        <v>2253.3200000000002</v>
      </c>
    </row>
    <row r="1134" spans="1:6">
      <c r="A1134" s="488" t="s">
        <v>479</v>
      </c>
      <c r="B1134" s="488" t="s">
        <v>480</v>
      </c>
      <c r="C1134" s="757" t="s">
        <v>2806</v>
      </c>
      <c r="D1134" s="488" t="s">
        <v>2471</v>
      </c>
      <c r="E1134" s="101">
        <v>43465</v>
      </c>
      <c r="F1134" s="46">
        <v>825</v>
      </c>
    </row>
    <row r="1135" spans="1:6">
      <c r="A1135" s="488" t="s">
        <v>2807</v>
      </c>
      <c r="B1135" s="488" t="s">
        <v>487</v>
      </c>
      <c r="C1135" s="757" t="s">
        <v>2808</v>
      </c>
      <c r="D1135" s="488" t="s">
        <v>103</v>
      </c>
      <c r="E1135" s="101">
        <v>43465</v>
      </c>
      <c r="F1135" s="46">
        <v>5000</v>
      </c>
    </row>
    <row r="1136" spans="1:6">
      <c r="A1136" s="488" t="s">
        <v>648</v>
      </c>
      <c r="B1136" s="488" t="s">
        <v>649</v>
      </c>
      <c r="C1136" s="757" t="s">
        <v>2364</v>
      </c>
      <c r="D1136" s="488" t="s">
        <v>2466</v>
      </c>
      <c r="E1136" s="101">
        <v>43465</v>
      </c>
      <c r="F1136" s="46">
        <v>622.77</v>
      </c>
    </row>
    <row r="1137" spans="1:11">
      <c r="A1137" s="488" t="s">
        <v>528</v>
      </c>
      <c r="B1137" s="488" t="s">
        <v>529</v>
      </c>
      <c r="C1137" s="757" t="s">
        <v>2809</v>
      </c>
      <c r="D1137" s="488" t="s">
        <v>2471</v>
      </c>
      <c r="E1137" s="101">
        <v>43466</v>
      </c>
      <c r="F1137" s="46">
        <v>1000</v>
      </c>
    </row>
    <row r="1138" spans="1:11">
      <c r="A1138" s="488" t="s">
        <v>326</v>
      </c>
      <c r="B1138" s="488" t="s">
        <v>327</v>
      </c>
      <c r="C1138" s="757" t="s">
        <v>2366</v>
      </c>
      <c r="D1138" s="488" t="s">
        <v>2468</v>
      </c>
      <c r="E1138" s="101">
        <v>43469</v>
      </c>
      <c r="F1138" s="46">
        <v>2000</v>
      </c>
    </row>
    <row r="1139" spans="1:11">
      <c r="A1139" s="488" t="s">
        <v>528</v>
      </c>
      <c r="B1139" s="488" t="s">
        <v>529</v>
      </c>
      <c r="C1139" s="757" t="s">
        <v>2810</v>
      </c>
      <c r="D1139" s="488" t="s">
        <v>2471</v>
      </c>
      <c r="E1139" s="101">
        <v>43469</v>
      </c>
      <c r="F1139" s="46">
        <v>1000</v>
      </c>
    </row>
    <row r="1140" spans="1:11">
      <c r="A1140" s="488" t="s">
        <v>326</v>
      </c>
      <c r="B1140" s="488" t="s">
        <v>327</v>
      </c>
      <c r="C1140" s="757" t="s">
        <v>2367</v>
      </c>
      <c r="D1140" s="488" t="s">
        <v>2468</v>
      </c>
      <c r="E1140" s="101">
        <v>43472</v>
      </c>
      <c r="F1140" s="46">
        <v>2000</v>
      </c>
    </row>
    <row r="1141" spans="1:11">
      <c r="A1141" s="488" t="s">
        <v>528</v>
      </c>
      <c r="B1141" s="488" t="s">
        <v>529</v>
      </c>
      <c r="C1141" s="757" t="s">
        <v>2811</v>
      </c>
      <c r="D1141" s="488" t="s">
        <v>2471</v>
      </c>
      <c r="E1141" s="101">
        <v>43472</v>
      </c>
      <c r="F1141" s="46">
        <v>701.86</v>
      </c>
    </row>
    <row r="1142" spans="1:11">
      <c r="A1142" s="488" t="s">
        <v>326</v>
      </c>
      <c r="B1142" s="488" t="s">
        <v>327</v>
      </c>
      <c r="C1142" s="757" t="s">
        <v>2368</v>
      </c>
      <c r="D1142" s="488" t="s">
        <v>2468</v>
      </c>
      <c r="E1142" s="101">
        <v>43475</v>
      </c>
      <c r="F1142" s="46">
        <v>2000</v>
      </c>
    </row>
    <row r="1143" spans="1:11">
      <c r="A1143" s="488" t="s">
        <v>528</v>
      </c>
      <c r="B1143" s="488" t="s">
        <v>529</v>
      </c>
      <c r="C1143" s="757" t="s">
        <v>2812</v>
      </c>
      <c r="D1143" s="488" t="s">
        <v>2471</v>
      </c>
      <c r="E1143" s="101">
        <v>43475</v>
      </c>
      <c r="F1143" s="46">
        <v>1000</v>
      </c>
    </row>
    <row r="1144" spans="1:11">
      <c r="A1144" s="488" t="s">
        <v>743</v>
      </c>
      <c r="B1144" s="488" t="s">
        <v>374</v>
      </c>
      <c r="C1144" s="757" t="s">
        <v>2813</v>
      </c>
      <c r="D1144" s="488" t="s">
        <v>103</v>
      </c>
      <c r="E1144" s="101">
        <v>43475</v>
      </c>
      <c r="F1144" s="46">
        <v>1679.46</v>
      </c>
    </row>
    <row r="1145" spans="1:11">
      <c r="A1145" s="488" t="s">
        <v>320</v>
      </c>
      <c r="B1145" s="488" t="s">
        <v>321</v>
      </c>
      <c r="C1145" s="757" t="s">
        <v>2814</v>
      </c>
      <c r="D1145" s="488" t="s">
        <v>2471</v>
      </c>
      <c r="E1145" s="101">
        <v>43475</v>
      </c>
      <c r="F1145" s="46">
        <v>1459.66</v>
      </c>
    </row>
    <row r="1146" spans="1:11">
      <c r="A1146" s="488" t="s">
        <v>479</v>
      </c>
      <c r="B1146" s="488" t="s">
        <v>480</v>
      </c>
      <c r="C1146" s="757" t="s">
        <v>2815</v>
      </c>
      <c r="D1146" s="488" t="s">
        <v>2471</v>
      </c>
      <c r="E1146" s="101">
        <v>43478</v>
      </c>
      <c r="F1146" s="46">
        <v>825</v>
      </c>
    </row>
    <row r="1147" spans="1:11">
      <c r="A1147" s="488" t="s">
        <v>326</v>
      </c>
      <c r="B1147" s="488" t="s">
        <v>327</v>
      </c>
      <c r="C1147" s="757" t="s">
        <v>2369</v>
      </c>
      <c r="D1147" s="488" t="s">
        <v>2468</v>
      </c>
      <c r="E1147" s="101">
        <v>43480</v>
      </c>
      <c r="F1147" s="46">
        <v>1965.75</v>
      </c>
    </row>
    <row r="1148" spans="1:11">
      <c r="A1148" s="488" t="s">
        <v>479</v>
      </c>
      <c r="B1148" s="488" t="s">
        <v>480</v>
      </c>
      <c r="C1148" s="757" t="s">
        <v>2816</v>
      </c>
      <c r="D1148" s="488" t="s">
        <v>2471</v>
      </c>
      <c r="E1148" s="101">
        <v>43480</v>
      </c>
      <c r="F1148" s="46">
        <v>890.2</v>
      </c>
    </row>
    <row r="1149" spans="1:11">
      <c r="A1149" s="488" t="s">
        <v>375</v>
      </c>
      <c r="B1149" s="488" t="s">
        <v>376</v>
      </c>
      <c r="C1149" s="757" t="s">
        <v>2817</v>
      </c>
      <c r="D1149" s="488" t="s">
        <v>2511</v>
      </c>
      <c r="E1149" s="101">
        <v>43480</v>
      </c>
      <c r="F1149" s="46">
        <v>1000</v>
      </c>
      <c r="G1149" s="795"/>
      <c r="H1149" s="778"/>
      <c r="I1149" s="778"/>
      <c r="J1149" s="796"/>
      <c r="K1149" s="797"/>
    </row>
    <row r="1150" spans="1:11">
      <c r="A1150" s="488" t="s">
        <v>375</v>
      </c>
      <c r="B1150" s="488" t="s">
        <v>376</v>
      </c>
      <c r="C1150" s="757" t="s">
        <v>2818</v>
      </c>
      <c r="D1150" s="488" t="s">
        <v>2496</v>
      </c>
      <c r="E1150" s="101">
        <v>43490</v>
      </c>
      <c r="F1150" s="46">
        <v>500</v>
      </c>
    </row>
    <row r="1151" spans="1:11">
      <c r="A1151" s="488" t="s">
        <v>501</v>
      </c>
      <c r="B1151" s="488" t="s">
        <v>502</v>
      </c>
      <c r="C1151" s="757" t="s">
        <v>2819</v>
      </c>
      <c r="D1151" s="488" t="s">
        <v>2472</v>
      </c>
      <c r="E1151" s="101">
        <v>43492</v>
      </c>
      <c r="F1151" s="46">
        <v>16857.89</v>
      </c>
    </row>
    <row r="1152" spans="1:11">
      <c r="A1152" s="488" t="s">
        <v>501</v>
      </c>
      <c r="B1152" s="488" t="s">
        <v>502</v>
      </c>
      <c r="C1152" s="757" t="s">
        <v>2820</v>
      </c>
      <c r="D1152" s="488" t="s">
        <v>2472</v>
      </c>
      <c r="E1152" s="101">
        <v>43523</v>
      </c>
      <c r="F1152" s="46">
        <v>10484.43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I105"/>
  <sheetViews>
    <sheetView tabSelected="1" topLeftCell="A106" workbookViewId="0">
      <selection sqref="A1:D1048576"/>
    </sheetView>
  </sheetViews>
  <sheetFormatPr baseColWidth="10" defaultRowHeight="15"/>
  <cols>
    <col min="1" max="1" width="8.28515625" style="488" bestFit="1" customWidth="1"/>
    <col min="2" max="2" width="31.28515625" style="488" bestFit="1" customWidth="1"/>
    <col min="3" max="3" width="10.7109375" style="488" bestFit="1" customWidth="1"/>
    <col min="4" max="4" width="10.140625" style="46" bestFit="1" customWidth="1"/>
    <col min="5" max="16384" width="11.42578125" style="488"/>
  </cols>
  <sheetData>
    <row r="1" spans="1:4" s="103" customFormat="1">
      <c r="A1" s="488" t="s">
        <v>318</v>
      </c>
      <c r="B1" s="488" t="s">
        <v>319</v>
      </c>
      <c r="C1" s="488" t="s">
        <v>932</v>
      </c>
      <c r="D1" s="46" t="s">
        <v>11</v>
      </c>
    </row>
    <row r="2" spans="1:4">
      <c r="A2" s="488" t="s">
        <v>2821</v>
      </c>
      <c r="B2" s="488" t="s">
        <v>2822</v>
      </c>
      <c r="C2" s="101">
        <v>43350</v>
      </c>
      <c r="D2" s="46">
        <v>1749.337</v>
      </c>
    </row>
    <row r="3" spans="1:4" s="749" customFormat="1">
      <c r="A3" s="488" t="s">
        <v>2821</v>
      </c>
      <c r="B3" s="488" t="s">
        <v>2822</v>
      </c>
      <c r="C3" s="101">
        <v>43353</v>
      </c>
      <c r="D3" s="46">
        <v>1937.3340000000001</v>
      </c>
    </row>
    <row r="4" spans="1:4">
      <c r="A4" s="488" t="s">
        <v>2821</v>
      </c>
      <c r="B4" s="488" t="s">
        <v>2822</v>
      </c>
      <c r="C4" s="101">
        <v>43362</v>
      </c>
      <c r="D4" s="46">
        <v>2000</v>
      </c>
    </row>
    <row r="5" spans="1:4">
      <c r="A5" s="488" t="s">
        <v>2821</v>
      </c>
      <c r="B5" s="488" t="s">
        <v>2822</v>
      </c>
      <c r="C5" s="101">
        <v>43370</v>
      </c>
      <c r="D5" s="46">
        <v>2000</v>
      </c>
    </row>
    <row r="6" spans="1:4">
      <c r="A6" s="488" t="s">
        <v>2821</v>
      </c>
      <c r="B6" s="488" t="s">
        <v>2822</v>
      </c>
      <c r="C6" s="101">
        <v>43373</v>
      </c>
      <c r="D6" s="46">
        <v>2000</v>
      </c>
    </row>
    <row r="7" spans="1:4">
      <c r="A7" s="488" t="s">
        <v>2823</v>
      </c>
      <c r="B7" s="488" t="s">
        <v>2824</v>
      </c>
      <c r="C7" s="101">
        <v>43403</v>
      </c>
      <c r="D7" s="46">
        <v>1475.3779999999999</v>
      </c>
    </row>
    <row r="8" spans="1:4">
      <c r="A8" s="488" t="s">
        <v>2825</v>
      </c>
      <c r="B8" s="488" t="s">
        <v>2826</v>
      </c>
      <c r="C8" s="101">
        <v>43403</v>
      </c>
      <c r="D8" s="46">
        <v>3150.2469999999998</v>
      </c>
    </row>
    <row r="9" spans="1:4">
      <c r="A9" s="488" t="s">
        <v>2827</v>
      </c>
      <c r="B9" s="488" t="s">
        <v>2828</v>
      </c>
      <c r="C9" s="101">
        <v>43404</v>
      </c>
      <c r="D9" s="46">
        <v>2173.1120000000001</v>
      </c>
    </row>
    <row r="10" spans="1:4">
      <c r="A10" s="488" t="s">
        <v>1440</v>
      </c>
      <c r="B10" s="488" t="s">
        <v>2829</v>
      </c>
      <c r="C10" s="101">
        <v>43413</v>
      </c>
      <c r="D10" s="46">
        <v>1973</v>
      </c>
    </row>
    <row r="11" spans="1:4">
      <c r="A11" s="488" t="s">
        <v>2830</v>
      </c>
      <c r="B11" s="488" t="s">
        <v>2831</v>
      </c>
      <c r="C11" s="101">
        <v>43414</v>
      </c>
      <c r="D11" s="46">
        <v>1560.107</v>
      </c>
    </row>
    <row r="12" spans="1:4">
      <c r="A12" s="488" t="s">
        <v>2832</v>
      </c>
      <c r="B12" s="488" t="s">
        <v>2833</v>
      </c>
      <c r="C12" s="101">
        <v>43419</v>
      </c>
      <c r="D12" s="46">
        <v>740</v>
      </c>
    </row>
    <row r="13" spans="1:4">
      <c r="A13" s="488" t="s">
        <v>2834</v>
      </c>
      <c r="B13" s="488" t="s">
        <v>2835</v>
      </c>
      <c r="C13" s="101">
        <v>43419</v>
      </c>
      <c r="D13" s="46">
        <v>3216.873</v>
      </c>
    </row>
    <row r="14" spans="1:4">
      <c r="A14" s="488" t="s">
        <v>1440</v>
      </c>
      <c r="B14" s="488" t="s">
        <v>2829</v>
      </c>
      <c r="C14" s="101">
        <v>43423</v>
      </c>
      <c r="D14" s="46">
        <v>1973</v>
      </c>
    </row>
    <row r="15" spans="1:4">
      <c r="A15" s="488" t="s">
        <v>2836</v>
      </c>
      <c r="B15" s="488" t="s">
        <v>2837</v>
      </c>
      <c r="C15" s="101">
        <v>43434</v>
      </c>
      <c r="D15" s="46">
        <v>844.51900000000001</v>
      </c>
    </row>
    <row r="16" spans="1:4">
      <c r="A16" s="488" t="s">
        <v>2838</v>
      </c>
      <c r="B16" s="488" t="s">
        <v>2839</v>
      </c>
      <c r="C16" s="101">
        <v>43434</v>
      </c>
      <c r="D16" s="46">
        <v>214.72300000000001</v>
      </c>
    </row>
    <row r="17" spans="1:4">
      <c r="A17" s="488" t="s">
        <v>2832</v>
      </c>
      <c r="B17" s="488" t="s">
        <v>2833</v>
      </c>
      <c r="C17" s="101">
        <v>43434</v>
      </c>
      <c r="D17" s="46">
        <v>741.60299999999995</v>
      </c>
    </row>
    <row r="18" spans="1:4">
      <c r="A18" s="488" t="s">
        <v>1440</v>
      </c>
      <c r="B18" s="488" t="s">
        <v>2829</v>
      </c>
      <c r="C18" s="101">
        <v>43434</v>
      </c>
      <c r="D18" s="46">
        <v>1973</v>
      </c>
    </row>
    <row r="19" spans="1:4">
      <c r="A19" s="488" t="s">
        <v>2840</v>
      </c>
      <c r="B19" s="488" t="s">
        <v>2841</v>
      </c>
      <c r="C19" s="101">
        <v>43434</v>
      </c>
      <c r="D19" s="46">
        <v>1338.201</v>
      </c>
    </row>
    <row r="20" spans="1:4">
      <c r="A20" s="488" t="s">
        <v>2842</v>
      </c>
      <c r="B20" s="488" t="s">
        <v>2843</v>
      </c>
      <c r="C20" s="101">
        <v>43439</v>
      </c>
      <c r="D20" s="46">
        <v>310.92200000000003</v>
      </c>
    </row>
    <row r="21" spans="1:4">
      <c r="A21" s="488" t="s">
        <v>955</v>
      </c>
      <c r="B21" s="488" t="s">
        <v>956</v>
      </c>
      <c r="C21" s="101">
        <v>43439</v>
      </c>
      <c r="D21" s="46">
        <v>11329.109</v>
      </c>
    </row>
    <row r="22" spans="1:4">
      <c r="A22" s="488" t="s">
        <v>2371</v>
      </c>
      <c r="B22" s="488" t="s">
        <v>2372</v>
      </c>
      <c r="C22" s="101">
        <v>43439</v>
      </c>
      <c r="D22" s="46">
        <v>5835.32</v>
      </c>
    </row>
    <row r="23" spans="1:4">
      <c r="A23" s="488" t="s">
        <v>1440</v>
      </c>
      <c r="B23" s="488" t="s">
        <v>2829</v>
      </c>
      <c r="C23" s="101">
        <v>43441</v>
      </c>
      <c r="D23" s="46">
        <v>1973</v>
      </c>
    </row>
    <row r="24" spans="1:4">
      <c r="A24" s="488" t="s">
        <v>957</v>
      </c>
      <c r="B24" s="488" t="s">
        <v>958</v>
      </c>
      <c r="C24" s="101">
        <v>43442</v>
      </c>
      <c r="D24" s="46">
        <v>6756.3959999999997</v>
      </c>
    </row>
    <row r="25" spans="1:4">
      <c r="A25" s="488" t="s">
        <v>939</v>
      </c>
      <c r="B25" s="488" t="s">
        <v>940</v>
      </c>
      <c r="C25" s="101">
        <v>43442</v>
      </c>
      <c r="D25" s="46">
        <v>1787.826</v>
      </c>
    </row>
    <row r="26" spans="1:4">
      <c r="A26" s="488" t="s">
        <v>933</v>
      </c>
      <c r="B26" s="488" t="s">
        <v>934</v>
      </c>
      <c r="C26" s="101">
        <v>43442</v>
      </c>
      <c r="D26" s="46">
        <v>1270</v>
      </c>
    </row>
    <row r="27" spans="1:4">
      <c r="A27" s="488" t="s">
        <v>2844</v>
      </c>
      <c r="B27" s="488" t="s">
        <v>2845</v>
      </c>
      <c r="C27" s="101">
        <v>43444</v>
      </c>
      <c r="D27" s="46">
        <v>1110.7929999999999</v>
      </c>
    </row>
    <row r="28" spans="1:4">
      <c r="A28" s="488" t="s">
        <v>937</v>
      </c>
      <c r="B28" s="488" t="s">
        <v>938</v>
      </c>
      <c r="C28" s="101">
        <v>43444</v>
      </c>
      <c r="D28" s="46">
        <v>12582.5</v>
      </c>
    </row>
    <row r="29" spans="1:4">
      <c r="A29" s="488" t="s">
        <v>935</v>
      </c>
      <c r="B29" s="488" t="s">
        <v>936</v>
      </c>
      <c r="C29" s="101">
        <v>43444</v>
      </c>
      <c r="D29" s="46">
        <v>18085.064999999999</v>
      </c>
    </row>
    <row r="30" spans="1:4">
      <c r="A30" s="488" t="s">
        <v>2846</v>
      </c>
      <c r="B30" s="488" t="s">
        <v>2847</v>
      </c>
      <c r="C30" s="101">
        <v>43444</v>
      </c>
      <c r="D30" s="46">
        <v>2500</v>
      </c>
    </row>
    <row r="31" spans="1:4">
      <c r="A31" s="488" t="s">
        <v>933</v>
      </c>
      <c r="B31" s="488" t="s">
        <v>934</v>
      </c>
      <c r="C31" s="101">
        <v>43445</v>
      </c>
      <c r="D31" s="46">
        <v>1271</v>
      </c>
    </row>
    <row r="32" spans="1:4">
      <c r="A32" s="488" t="s">
        <v>2848</v>
      </c>
      <c r="B32" s="488" t="s">
        <v>2849</v>
      </c>
      <c r="C32" s="101">
        <v>43447</v>
      </c>
      <c r="D32" s="46">
        <v>1081.2840000000001</v>
      </c>
    </row>
    <row r="33" spans="1:4">
      <c r="A33" s="488" t="s">
        <v>933</v>
      </c>
      <c r="B33" s="488" t="s">
        <v>934</v>
      </c>
      <c r="C33" s="101">
        <v>43448</v>
      </c>
      <c r="D33" s="46">
        <v>1272</v>
      </c>
    </row>
    <row r="34" spans="1:4">
      <c r="A34" s="488" t="s">
        <v>941</v>
      </c>
      <c r="B34" s="488" t="s">
        <v>942</v>
      </c>
      <c r="C34" s="101">
        <v>43449</v>
      </c>
      <c r="D34" s="46">
        <v>1866.771</v>
      </c>
    </row>
    <row r="35" spans="1:4">
      <c r="A35" s="488" t="s">
        <v>943</v>
      </c>
      <c r="B35" s="488" t="s">
        <v>944</v>
      </c>
      <c r="C35" s="101">
        <v>43449</v>
      </c>
      <c r="D35" s="46">
        <v>2956.5729999999999</v>
      </c>
    </row>
    <row r="36" spans="1:4">
      <c r="A36" s="488" t="s">
        <v>1440</v>
      </c>
      <c r="B36" s="488" t="s">
        <v>2829</v>
      </c>
      <c r="C36" s="101">
        <v>43449</v>
      </c>
      <c r="D36" s="46">
        <v>1976.172</v>
      </c>
    </row>
    <row r="37" spans="1:4">
      <c r="A37" s="488" t="s">
        <v>2371</v>
      </c>
      <c r="B37" s="488" t="s">
        <v>2372</v>
      </c>
      <c r="C37" s="101">
        <v>43449</v>
      </c>
      <c r="D37" s="46">
        <v>6000</v>
      </c>
    </row>
    <row r="38" spans="1:4">
      <c r="A38" s="488" t="s">
        <v>945</v>
      </c>
      <c r="B38" s="488" t="s">
        <v>946</v>
      </c>
      <c r="C38" s="101">
        <v>43449</v>
      </c>
      <c r="D38" s="46">
        <v>1764.2629999999999</v>
      </c>
    </row>
    <row r="39" spans="1:4">
      <c r="A39" s="488" t="s">
        <v>933</v>
      </c>
      <c r="B39" s="488" t="s">
        <v>934</v>
      </c>
      <c r="C39" s="101">
        <v>43451</v>
      </c>
      <c r="D39" s="46">
        <v>1273</v>
      </c>
    </row>
    <row r="40" spans="1:4">
      <c r="A40" s="488" t="s">
        <v>947</v>
      </c>
      <c r="B40" s="488" t="s">
        <v>948</v>
      </c>
      <c r="C40" s="101">
        <v>43452</v>
      </c>
      <c r="D40" s="46">
        <v>3424.7109999999998</v>
      </c>
    </row>
    <row r="41" spans="1:4">
      <c r="A41" s="488" t="s">
        <v>937</v>
      </c>
      <c r="B41" s="488" t="s">
        <v>938</v>
      </c>
      <c r="C41" s="101">
        <v>43453</v>
      </c>
      <c r="D41" s="46">
        <v>12582.5</v>
      </c>
    </row>
    <row r="42" spans="1:4" s="749" customFormat="1">
      <c r="A42" s="488" t="s">
        <v>2373</v>
      </c>
      <c r="B42" s="488" t="s">
        <v>2850</v>
      </c>
      <c r="C42" s="101">
        <v>43454</v>
      </c>
      <c r="D42" s="46">
        <v>1148.5250000000001</v>
      </c>
    </row>
    <row r="43" spans="1:4">
      <c r="A43" s="488" t="s">
        <v>951</v>
      </c>
      <c r="B43" s="488" t="s">
        <v>952</v>
      </c>
      <c r="C43" s="101">
        <v>43454</v>
      </c>
      <c r="D43" s="46">
        <v>2207.0770000000002</v>
      </c>
    </row>
    <row r="44" spans="1:4">
      <c r="A44" s="488" t="s">
        <v>933</v>
      </c>
      <c r="B44" s="488" t="s">
        <v>934</v>
      </c>
      <c r="C44" s="101">
        <v>43454</v>
      </c>
      <c r="D44" s="46">
        <v>1274</v>
      </c>
    </row>
    <row r="45" spans="1:4">
      <c r="A45" s="488" t="s">
        <v>945</v>
      </c>
      <c r="B45" s="488" t="s">
        <v>946</v>
      </c>
      <c r="C45" s="101">
        <v>43454</v>
      </c>
      <c r="D45" s="46">
        <v>1764.2629999999999</v>
      </c>
    </row>
    <row r="46" spans="1:4">
      <c r="A46" s="488" t="s">
        <v>2846</v>
      </c>
      <c r="B46" s="488" t="s">
        <v>2847</v>
      </c>
      <c r="C46" s="101">
        <v>43454</v>
      </c>
      <c r="D46" s="46">
        <v>2500</v>
      </c>
    </row>
    <row r="47" spans="1:4">
      <c r="A47" s="488" t="s">
        <v>947</v>
      </c>
      <c r="B47" s="488" t="s">
        <v>948</v>
      </c>
      <c r="C47" s="101">
        <v>43455</v>
      </c>
      <c r="D47" s="46">
        <v>2000</v>
      </c>
    </row>
    <row r="48" spans="1:4">
      <c r="A48" s="488" t="s">
        <v>933</v>
      </c>
      <c r="B48" s="488" t="s">
        <v>934</v>
      </c>
      <c r="C48" s="101">
        <v>43457</v>
      </c>
      <c r="D48" s="46">
        <v>1275</v>
      </c>
    </row>
    <row r="49" spans="1:4">
      <c r="A49" s="488" t="s">
        <v>943</v>
      </c>
      <c r="B49" s="488" t="s">
        <v>944</v>
      </c>
      <c r="C49" s="101">
        <v>43459</v>
      </c>
      <c r="D49" s="46">
        <v>2995.5830000000001</v>
      </c>
    </row>
    <row r="50" spans="1:4">
      <c r="A50" s="488" t="s">
        <v>953</v>
      </c>
      <c r="B50" s="488" t="s">
        <v>954</v>
      </c>
      <c r="C50" s="101">
        <v>43459</v>
      </c>
      <c r="D50" s="46">
        <v>6330.201</v>
      </c>
    </row>
    <row r="51" spans="1:4">
      <c r="A51" s="488" t="s">
        <v>945</v>
      </c>
      <c r="B51" s="488" t="s">
        <v>946</v>
      </c>
      <c r="C51" s="101">
        <v>43459</v>
      </c>
      <c r="D51" s="46">
        <v>1764.2629999999999</v>
      </c>
    </row>
    <row r="52" spans="1:4">
      <c r="A52" s="488" t="s">
        <v>945</v>
      </c>
      <c r="B52" s="488" t="s">
        <v>946</v>
      </c>
      <c r="C52" s="101">
        <v>43459</v>
      </c>
      <c r="D52" s="46">
        <v>1764.2629999999999</v>
      </c>
    </row>
    <row r="53" spans="1:4">
      <c r="A53" s="488" t="s">
        <v>933</v>
      </c>
      <c r="B53" s="488" t="s">
        <v>934</v>
      </c>
      <c r="C53" s="101">
        <v>43461</v>
      </c>
      <c r="D53" s="46">
        <v>1276</v>
      </c>
    </row>
    <row r="54" spans="1:4">
      <c r="A54" s="488" t="s">
        <v>947</v>
      </c>
      <c r="B54" s="488" t="s">
        <v>948</v>
      </c>
      <c r="C54" s="101">
        <v>43462</v>
      </c>
      <c r="D54" s="46">
        <v>3424.7109999999998</v>
      </c>
    </row>
    <row r="55" spans="1:4">
      <c r="A55" s="488" t="s">
        <v>726</v>
      </c>
      <c r="B55" s="488" t="s">
        <v>727</v>
      </c>
      <c r="C55" s="101">
        <v>43464</v>
      </c>
      <c r="D55" s="46">
        <v>565.01800000000003</v>
      </c>
    </row>
    <row r="56" spans="1:4">
      <c r="A56" s="488" t="s">
        <v>2846</v>
      </c>
      <c r="B56" s="488" t="s">
        <v>2847</v>
      </c>
      <c r="C56" s="101">
        <v>43464</v>
      </c>
      <c r="D56" s="46">
        <v>2500</v>
      </c>
    </row>
    <row r="57" spans="1:4">
      <c r="A57" s="488" t="s">
        <v>943</v>
      </c>
      <c r="B57" s="488" t="s">
        <v>944</v>
      </c>
      <c r="C57" s="101">
        <v>43465</v>
      </c>
      <c r="D57" s="46">
        <v>2995.5839999999998</v>
      </c>
    </row>
    <row r="58" spans="1:4" s="749" customFormat="1">
      <c r="A58" s="488" t="s">
        <v>949</v>
      </c>
      <c r="B58" s="488" t="s">
        <v>950</v>
      </c>
      <c r="C58" s="101">
        <v>43465</v>
      </c>
      <c r="D58" s="46">
        <v>1617.07</v>
      </c>
    </row>
    <row r="59" spans="1:4">
      <c r="A59" s="488" t="s">
        <v>2370</v>
      </c>
      <c r="B59" s="488" t="s">
        <v>2851</v>
      </c>
      <c r="C59" s="101">
        <v>43465</v>
      </c>
      <c r="D59" s="46">
        <v>3098.45</v>
      </c>
    </row>
    <row r="60" spans="1:4" s="749" customFormat="1">
      <c r="A60" s="488" t="s">
        <v>937</v>
      </c>
      <c r="B60" s="488" t="s">
        <v>938</v>
      </c>
      <c r="C60" s="101">
        <v>43465</v>
      </c>
      <c r="D60" s="46">
        <v>12880</v>
      </c>
    </row>
    <row r="61" spans="1:4">
      <c r="A61" s="488" t="s">
        <v>933</v>
      </c>
      <c r="B61" s="488" t="s">
        <v>934</v>
      </c>
      <c r="C61" s="101">
        <v>43465</v>
      </c>
      <c r="D61" s="46">
        <v>1268.278</v>
      </c>
    </row>
    <row r="62" spans="1:4">
      <c r="A62" s="488" t="s">
        <v>955</v>
      </c>
      <c r="B62" s="488" t="s">
        <v>956</v>
      </c>
      <c r="C62" s="101">
        <v>43470</v>
      </c>
      <c r="D62" s="46">
        <v>8508.1790000000001</v>
      </c>
    </row>
    <row r="63" spans="1:4">
      <c r="A63" s="488" t="s">
        <v>957</v>
      </c>
      <c r="B63" s="488" t="s">
        <v>958</v>
      </c>
      <c r="C63" s="101">
        <v>43472</v>
      </c>
      <c r="D63" s="46">
        <v>6567.0360000000001</v>
      </c>
    </row>
    <row r="64" spans="1:4">
      <c r="A64" s="488" t="s">
        <v>2836</v>
      </c>
      <c r="B64" s="488" t="s">
        <v>2837</v>
      </c>
      <c r="C64" s="101">
        <v>43475</v>
      </c>
      <c r="D64" s="46">
        <v>1535.82</v>
      </c>
    </row>
    <row r="65" spans="1:4">
      <c r="A65" s="488" t="s">
        <v>949</v>
      </c>
      <c r="B65" s="488" t="s">
        <v>950</v>
      </c>
      <c r="C65" s="101">
        <v>43475</v>
      </c>
      <c r="D65" s="46">
        <v>2000</v>
      </c>
    </row>
    <row r="66" spans="1:4">
      <c r="A66" s="488" t="s">
        <v>935</v>
      </c>
      <c r="B66" s="488" t="s">
        <v>936</v>
      </c>
      <c r="C66" s="101">
        <v>43475</v>
      </c>
      <c r="D66" s="46">
        <v>18000</v>
      </c>
    </row>
    <row r="67" spans="1:4">
      <c r="A67" s="488" t="s">
        <v>937</v>
      </c>
      <c r="B67" s="488" t="s">
        <v>938</v>
      </c>
      <c r="C67" s="101">
        <v>43476</v>
      </c>
      <c r="D67" s="46">
        <v>12880</v>
      </c>
    </row>
    <row r="68" spans="1:4">
      <c r="A68" s="488" t="s">
        <v>937</v>
      </c>
      <c r="B68" s="488" t="s">
        <v>938</v>
      </c>
      <c r="C68" s="101">
        <v>43480</v>
      </c>
      <c r="D68" s="46">
        <v>12880</v>
      </c>
    </row>
    <row r="69" spans="1:4">
      <c r="A69" s="488" t="s">
        <v>941</v>
      </c>
      <c r="B69" s="488" t="s">
        <v>942</v>
      </c>
      <c r="C69" s="101">
        <v>43482</v>
      </c>
      <c r="D69" s="46">
        <v>5943.567</v>
      </c>
    </row>
    <row r="70" spans="1:4">
      <c r="A70" s="488" t="s">
        <v>937</v>
      </c>
      <c r="B70" s="488" t="s">
        <v>938</v>
      </c>
      <c r="C70" s="101">
        <v>43486</v>
      </c>
      <c r="D70" s="46">
        <v>12880</v>
      </c>
    </row>
    <row r="71" spans="1:4">
      <c r="A71" s="488" t="s">
        <v>937</v>
      </c>
      <c r="B71" s="488" t="s">
        <v>938</v>
      </c>
      <c r="C71" s="101">
        <v>43496</v>
      </c>
      <c r="D71" s="46">
        <v>12890</v>
      </c>
    </row>
    <row r="72" spans="1:4">
      <c r="A72" s="488" t="s">
        <v>2852</v>
      </c>
      <c r="B72" s="488" t="s">
        <v>485</v>
      </c>
      <c r="C72" s="101">
        <v>43501</v>
      </c>
      <c r="D72" s="46">
        <v>3024.0360000000001</v>
      </c>
    </row>
    <row r="73" spans="1:4">
      <c r="A73" s="488" t="s">
        <v>937</v>
      </c>
      <c r="B73" s="488" t="s">
        <v>938</v>
      </c>
      <c r="C73" s="101">
        <v>43507</v>
      </c>
      <c r="D73" s="46">
        <v>12890</v>
      </c>
    </row>
    <row r="74" spans="1:4">
      <c r="A74" s="488" t="s">
        <v>937</v>
      </c>
      <c r="B74" s="488" t="s">
        <v>938</v>
      </c>
      <c r="C74" s="101">
        <v>43511</v>
      </c>
      <c r="D74" s="46">
        <v>12890</v>
      </c>
    </row>
    <row r="75" spans="1:4">
      <c r="A75" s="488" t="s">
        <v>937</v>
      </c>
      <c r="B75" s="488" t="s">
        <v>938</v>
      </c>
      <c r="C75" s="101">
        <v>43517</v>
      </c>
      <c r="D75" s="46">
        <v>12852.422</v>
      </c>
    </row>
    <row r="105" spans="8:9">
      <c r="H105" s="101"/>
      <c r="I105" s="46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42"/>
  <sheetViews>
    <sheetView topLeftCell="A103" zoomScaleNormal="100" workbookViewId="0">
      <selection activeCell="G118" sqref="G118"/>
    </sheetView>
  </sheetViews>
  <sheetFormatPr baseColWidth="10" defaultRowHeight="15"/>
  <cols>
    <col min="1" max="1" width="5.7109375" style="761" bestFit="1" customWidth="1"/>
    <col min="2" max="2" width="33.28515625" style="761" bestFit="1" customWidth="1"/>
    <col min="3" max="3" width="9" style="761" bestFit="1" customWidth="1"/>
    <col min="4" max="4" width="10.7109375" style="758" bestFit="1" customWidth="1"/>
    <col min="5" max="5" width="11.42578125" style="758" bestFit="1" customWidth="1"/>
    <col min="6" max="6" width="11" style="764" bestFit="1" customWidth="1"/>
    <col min="7" max="8" width="2" style="761" bestFit="1" customWidth="1"/>
    <col min="9" max="9" width="11" style="761" bestFit="1" customWidth="1"/>
    <col min="10" max="10" width="10.7109375" style="758" bestFit="1" customWidth="1"/>
    <col min="11" max="11" width="9.42578125" style="761" bestFit="1" customWidth="1"/>
    <col min="12" max="12" width="13.85546875" style="761" bestFit="1" customWidth="1"/>
    <col min="13" max="16384" width="11.42578125" style="761"/>
  </cols>
  <sheetData>
    <row r="1" spans="1:12" s="756" customFormat="1" ht="12.75">
      <c r="A1" s="750" t="s">
        <v>959</v>
      </c>
      <c r="B1" s="750" t="s">
        <v>960</v>
      </c>
      <c r="C1" s="751" t="s">
        <v>961</v>
      </c>
      <c r="D1" s="752" t="s">
        <v>962</v>
      </c>
      <c r="E1" s="752" t="s">
        <v>963</v>
      </c>
      <c r="F1" s="753" t="s">
        <v>964</v>
      </c>
      <c r="G1" s="928" t="s">
        <v>965</v>
      </c>
      <c r="H1" s="928"/>
      <c r="I1" s="754" t="s">
        <v>966</v>
      </c>
      <c r="J1" s="752" t="s">
        <v>10</v>
      </c>
      <c r="K1" s="755" t="s">
        <v>317</v>
      </c>
      <c r="L1" s="755" t="s">
        <v>967</v>
      </c>
    </row>
    <row r="2" spans="1:12">
      <c r="A2" s="488" t="s">
        <v>968</v>
      </c>
      <c r="B2" s="488" t="s">
        <v>2433</v>
      </c>
      <c r="C2" s="757" t="s">
        <v>2397</v>
      </c>
      <c r="D2" s="101">
        <v>43328</v>
      </c>
      <c r="F2" s="759">
        <f t="shared" ref="F2:F33" si="0">SUM(I2*G2)</f>
        <v>1230.162</v>
      </c>
      <c r="G2" s="750">
        <v>1</v>
      </c>
      <c r="H2" s="760">
        <f t="shared" ref="H2:H33" si="1">IF(E2="",1,0)</f>
        <v>1</v>
      </c>
      <c r="I2" s="46">
        <v>1230.162</v>
      </c>
      <c r="J2" s="758">
        <f t="shared" ref="J2:J15" si="2">+D2</f>
        <v>43328</v>
      </c>
      <c r="K2" s="757" t="s">
        <v>2423</v>
      </c>
      <c r="L2" s="761" t="s">
        <v>972</v>
      </c>
    </row>
    <row r="3" spans="1:12">
      <c r="A3" s="488" t="s">
        <v>968</v>
      </c>
      <c r="B3" s="488" t="s">
        <v>2447</v>
      </c>
      <c r="C3" s="757" t="s">
        <v>2395</v>
      </c>
      <c r="D3" s="101">
        <v>43328</v>
      </c>
      <c r="F3" s="759">
        <f t="shared" si="0"/>
        <v>350</v>
      </c>
      <c r="G3" s="750">
        <v>1</v>
      </c>
      <c r="H3" s="760">
        <f t="shared" si="1"/>
        <v>1</v>
      </c>
      <c r="I3" s="46">
        <v>350</v>
      </c>
      <c r="J3" s="758">
        <f t="shared" si="2"/>
        <v>43328</v>
      </c>
      <c r="K3" s="757" t="s">
        <v>2421</v>
      </c>
      <c r="L3" s="761" t="s">
        <v>972</v>
      </c>
    </row>
    <row r="4" spans="1:12">
      <c r="A4" s="488" t="s">
        <v>968</v>
      </c>
      <c r="B4" s="488" t="s">
        <v>1000</v>
      </c>
      <c r="C4" s="757" t="s">
        <v>2393</v>
      </c>
      <c r="D4" s="101">
        <v>43328</v>
      </c>
      <c r="F4" s="759">
        <f t="shared" si="0"/>
        <v>7682.2219999999998</v>
      </c>
      <c r="G4" s="750">
        <v>1</v>
      </c>
      <c r="H4" s="760">
        <f t="shared" si="1"/>
        <v>1</v>
      </c>
      <c r="I4" s="46">
        <v>7682.2219999999998</v>
      </c>
      <c r="J4" s="758">
        <f t="shared" si="2"/>
        <v>43328</v>
      </c>
      <c r="K4" s="757" t="s">
        <v>2419</v>
      </c>
      <c r="L4" s="761" t="s">
        <v>972</v>
      </c>
    </row>
    <row r="5" spans="1:12">
      <c r="A5" s="488" t="s">
        <v>968</v>
      </c>
      <c r="B5" s="488" t="s">
        <v>1270</v>
      </c>
      <c r="C5" s="757" t="s">
        <v>2391</v>
      </c>
      <c r="D5" s="101">
        <v>43328</v>
      </c>
      <c r="F5" s="759">
        <f t="shared" si="0"/>
        <v>765.77</v>
      </c>
      <c r="G5" s="750">
        <v>1</v>
      </c>
      <c r="H5" s="760">
        <f t="shared" si="1"/>
        <v>1</v>
      </c>
      <c r="I5" s="46">
        <v>765.77</v>
      </c>
      <c r="J5" s="758">
        <f t="shared" si="2"/>
        <v>43328</v>
      </c>
      <c r="K5" s="757" t="s">
        <v>2417</v>
      </c>
      <c r="L5" s="762" t="s">
        <v>972</v>
      </c>
    </row>
    <row r="6" spans="1:12">
      <c r="A6" s="488" t="s">
        <v>968</v>
      </c>
      <c r="B6" s="488" t="s">
        <v>1083</v>
      </c>
      <c r="C6" s="757" t="s">
        <v>2390</v>
      </c>
      <c r="D6" s="101">
        <v>43328</v>
      </c>
      <c r="F6" s="759">
        <f t="shared" si="0"/>
        <v>1307.4870000000001</v>
      </c>
      <c r="G6" s="750">
        <v>1</v>
      </c>
      <c r="H6" s="760">
        <f t="shared" si="1"/>
        <v>1</v>
      </c>
      <c r="I6" s="46">
        <v>1307.4870000000001</v>
      </c>
      <c r="J6" s="758">
        <f t="shared" si="2"/>
        <v>43328</v>
      </c>
      <c r="K6" s="757" t="s">
        <v>2416</v>
      </c>
      <c r="L6" s="762" t="s">
        <v>972</v>
      </c>
    </row>
    <row r="7" spans="1:12">
      <c r="A7" s="488" t="s">
        <v>968</v>
      </c>
      <c r="B7" s="488" t="s">
        <v>999</v>
      </c>
      <c r="C7" s="757" t="s">
        <v>2387</v>
      </c>
      <c r="D7" s="101">
        <v>43328</v>
      </c>
      <c r="F7" s="759">
        <f t="shared" si="0"/>
        <v>2879.0329999999999</v>
      </c>
      <c r="G7" s="750">
        <v>1</v>
      </c>
      <c r="H7" s="760">
        <f t="shared" si="1"/>
        <v>1</v>
      </c>
      <c r="I7" s="46">
        <v>2879.0329999999999</v>
      </c>
      <c r="J7" s="758">
        <f t="shared" si="2"/>
        <v>43328</v>
      </c>
      <c r="K7" s="757" t="s">
        <v>2413</v>
      </c>
      <c r="L7" s="762" t="s">
        <v>972</v>
      </c>
    </row>
    <row r="8" spans="1:12">
      <c r="A8" s="488" t="s">
        <v>968</v>
      </c>
      <c r="B8" s="488" t="s">
        <v>979</v>
      </c>
      <c r="C8" s="757" t="s">
        <v>2386</v>
      </c>
      <c r="D8" s="101">
        <v>43328</v>
      </c>
      <c r="F8" s="759">
        <f t="shared" si="0"/>
        <v>1312.7260000000001</v>
      </c>
      <c r="G8" s="750">
        <v>1</v>
      </c>
      <c r="H8" s="760">
        <f t="shared" si="1"/>
        <v>1</v>
      </c>
      <c r="I8" s="46">
        <v>1312.7260000000001</v>
      </c>
      <c r="J8" s="758">
        <f t="shared" si="2"/>
        <v>43328</v>
      </c>
      <c r="K8" s="757" t="s">
        <v>2412</v>
      </c>
      <c r="L8" s="762" t="s">
        <v>972</v>
      </c>
    </row>
    <row r="9" spans="1:12">
      <c r="A9" s="488" t="s">
        <v>968</v>
      </c>
      <c r="B9" s="488" t="s">
        <v>1000</v>
      </c>
      <c r="C9" s="757" t="s">
        <v>2385</v>
      </c>
      <c r="D9" s="101">
        <v>43328</v>
      </c>
      <c r="F9" s="759">
        <f t="shared" si="0"/>
        <v>8008.06</v>
      </c>
      <c r="G9" s="750">
        <v>1</v>
      </c>
      <c r="H9" s="760">
        <f t="shared" si="1"/>
        <v>1</v>
      </c>
      <c r="I9" s="46">
        <v>8008.06</v>
      </c>
      <c r="J9" s="758">
        <f t="shared" si="2"/>
        <v>43328</v>
      </c>
      <c r="K9" s="757" t="s">
        <v>2411</v>
      </c>
      <c r="L9" s="762" t="s">
        <v>972</v>
      </c>
    </row>
    <row r="10" spans="1:12">
      <c r="A10" s="488" t="s">
        <v>968</v>
      </c>
      <c r="B10" s="488" t="s">
        <v>2430</v>
      </c>
      <c r="C10" s="757" t="s">
        <v>2384</v>
      </c>
      <c r="D10" s="101">
        <v>43328</v>
      </c>
      <c r="F10" s="759">
        <f t="shared" si="0"/>
        <v>22994.313999999998</v>
      </c>
      <c r="G10" s="750">
        <v>1</v>
      </c>
      <c r="H10" s="760">
        <f t="shared" si="1"/>
        <v>1</v>
      </c>
      <c r="I10" s="46">
        <v>22994.313999999998</v>
      </c>
      <c r="J10" s="758">
        <f t="shared" si="2"/>
        <v>43328</v>
      </c>
      <c r="K10" s="757" t="s">
        <v>2410</v>
      </c>
      <c r="L10" s="762" t="s">
        <v>972</v>
      </c>
    </row>
    <row r="11" spans="1:12">
      <c r="A11" s="488" t="s">
        <v>968</v>
      </c>
      <c r="B11" s="488" t="s">
        <v>2427</v>
      </c>
      <c r="C11" s="757" t="s">
        <v>2383</v>
      </c>
      <c r="D11" s="101">
        <v>43328</v>
      </c>
      <c r="F11" s="759">
        <f t="shared" si="0"/>
        <v>250</v>
      </c>
      <c r="G11" s="750">
        <v>1</v>
      </c>
      <c r="H11" s="760">
        <f t="shared" si="1"/>
        <v>1</v>
      </c>
      <c r="I11" s="46">
        <v>250</v>
      </c>
      <c r="J11" s="758">
        <f t="shared" si="2"/>
        <v>43328</v>
      </c>
      <c r="K11" s="757" t="s">
        <v>2409</v>
      </c>
      <c r="L11" s="762" t="s">
        <v>972</v>
      </c>
    </row>
    <row r="12" spans="1:12">
      <c r="A12" s="488" t="s">
        <v>968</v>
      </c>
      <c r="B12" s="488" t="s">
        <v>1007</v>
      </c>
      <c r="C12" s="757" t="s">
        <v>2382</v>
      </c>
      <c r="D12" s="101">
        <v>43328</v>
      </c>
      <c r="F12" s="759">
        <f t="shared" si="0"/>
        <v>621.80999999999995</v>
      </c>
      <c r="G12" s="750">
        <v>1</v>
      </c>
      <c r="H12" s="760">
        <f t="shared" si="1"/>
        <v>1</v>
      </c>
      <c r="I12" s="46">
        <v>621.80999999999995</v>
      </c>
      <c r="J12" s="758">
        <f t="shared" si="2"/>
        <v>43328</v>
      </c>
      <c r="K12" s="757" t="s">
        <v>2408</v>
      </c>
      <c r="L12" s="762" t="s">
        <v>972</v>
      </c>
    </row>
    <row r="13" spans="1:12">
      <c r="A13" s="488" t="s">
        <v>968</v>
      </c>
      <c r="B13" s="488" t="s">
        <v>2429</v>
      </c>
      <c r="C13" s="757" t="s">
        <v>2381</v>
      </c>
      <c r="D13" s="101">
        <v>43328</v>
      </c>
      <c r="F13" s="759">
        <f t="shared" si="0"/>
        <v>1329.6220000000001</v>
      </c>
      <c r="G13" s="750">
        <v>1</v>
      </c>
      <c r="H13" s="760">
        <f t="shared" si="1"/>
        <v>1</v>
      </c>
      <c r="I13" s="46">
        <v>1329.6220000000001</v>
      </c>
      <c r="J13" s="758">
        <f t="shared" si="2"/>
        <v>43328</v>
      </c>
      <c r="K13" s="757" t="s">
        <v>2407</v>
      </c>
      <c r="L13" s="762" t="s">
        <v>972</v>
      </c>
    </row>
    <row r="14" spans="1:12">
      <c r="A14" s="488" t="s">
        <v>968</v>
      </c>
      <c r="B14" s="488" t="s">
        <v>2428</v>
      </c>
      <c r="C14" s="757" t="s">
        <v>2380</v>
      </c>
      <c r="D14" s="101">
        <v>43328</v>
      </c>
      <c r="F14" s="759">
        <f t="shared" si="0"/>
        <v>401.85</v>
      </c>
      <c r="G14" s="750">
        <v>1</v>
      </c>
      <c r="H14" s="760">
        <f t="shared" si="1"/>
        <v>1</v>
      </c>
      <c r="I14" s="46">
        <v>401.85</v>
      </c>
      <c r="J14" s="758">
        <f t="shared" si="2"/>
        <v>43328</v>
      </c>
      <c r="K14" s="757" t="s">
        <v>2406</v>
      </c>
      <c r="L14" s="762" t="s">
        <v>972</v>
      </c>
    </row>
    <row r="15" spans="1:12">
      <c r="A15" s="488" t="s">
        <v>968</v>
      </c>
      <c r="B15" s="488" t="s">
        <v>2426</v>
      </c>
      <c r="C15" s="757" t="s">
        <v>2376</v>
      </c>
      <c r="D15" s="101">
        <v>43329</v>
      </c>
      <c r="F15" s="759">
        <f t="shared" si="0"/>
        <v>2508.5070000000001</v>
      </c>
      <c r="G15" s="750">
        <v>1</v>
      </c>
      <c r="H15" s="760">
        <f t="shared" si="1"/>
        <v>1</v>
      </c>
      <c r="I15" s="46">
        <v>2508.5070000000001</v>
      </c>
      <c r="J15" s="758">
        <f t="shared" si="2"/>
        <v>43329</v>
      </c>
      <c r="K15" s="757" t="s">
        <v>2402</v>
      </c>
      <c r="L15" s="761" t="s">
        <v>972</v>
      </c>
    </row>
    <row r="16" spans="1:12">
      <c r="A16" s="488" t="s">
        <v>1027</v>
      </c>
      <c r="B16" s="488" t="s">
        <v>1028</v>
      </c>
      <c r="C16" s="757" t="s">
        <v>2392</v>
      </c>
      <c r="D16" s="101">
        <v>43328</v>
      </c>
      <c r="F16" s="759">
        <f t="shared" si="0"/>
        <v>503.41300000000001</v>
      </c>
      <c r="G16" s="750">
        <v>1</v>
      </c>
      <c r="H16" s="760">
        <f t="shared" si="1"/>
        <v>1</v>
      </c>
      <c r="I16" s="46">
        <v>503.41300000000001</v>
      </c>
      <c r="J16" s="758">
        <v>43378</v>
      </c>
      <c r="K16" s="757" t="s">
        <v>2418</v>
      </c>
      <c r="L16" s="762" t="s">
        <v>972</v>
      </c>
    </row>
    <row r="17" spans="1:12">
      <c r="A17" s="488" t="s">
        <v>1027</v>
      </c>
      <c r="B17" s="488" t="s">
        <v>2432</v>
      </c>
      <c r="C17" s="757" t="s">
        <v>2396</v>
      </c>
      <c r="D17" s="101">
        <v>43328</v>
      </c>
      <c r="F17" s="759">
        <f t="shared" si="0"/>
        <v>436.44299999999998</v>
      </c>
      <c r="G17" s="750">
        <v>1</v>
      </c>
      <c r="H17" s="760">
        <f t="shared" si="1"/>
        <v>1</v>
      </c>
      <c r="I17" s="46">
        <v>436.44299999999998</v>
      </c>
      <c r="J17" s="758">
        <v>43383</v>
      </c>
      <c r="K17" s="757" t="s">
        <v>2422</v>
      </c>
      <c r="L17" s="761" t="s">
        <v>972</v>
      </c>
    </row>
    <row r="18" spans="1:12">
      <c r="A18" s="488" t="s">
        <v>1027</v>
      </c>
      <c r="B18" s="488" t="s">
        <v>2431</v>
      </c>
      <c r="C18" s="757" t="s">
        <v>2388</v>
      </c>
      <c r="D18" s="101">
        <v>43328</v>
      </c>
      <c r="F18" s="759">
        <f t="shared" si="0"/>
        <v>309.029</v>
      </c>
      <c r="G18" s="750">
        <v>1</v>
      </c>
      <c r="H18" s="760">
        <f t="shared" si="1"/>
        <v>1</v>
      </c>
      <c r="I18" s="46">
        <v>309.029</v>
      </c>
      <c r="J18" s="758">
        <v>43393</v>
      </c>
      <c r="K18" s="757" t="s">
        <v>2414</v>
      </c>
      <c r="L18" s="762" t="s">
        <v>972</v>
      </c>
    </row>
    <row r="19" spans="1:12">
      <c r="A19" s="488" t="s">
        <v>1027</v>
      </c>
      <c r="B19" s="488" t="s">
        <v>1036</v>
      </c>
      <c r="C19" s="757" t="s">
        <v>2399</v>
      </c>
      <c r="D19" s="101">
        <v>43328</v>
      </c>
      <c r="F19" s="759">
        <f t="shared" si="0"/>
        <v>16184.472</v>
      </c>
      <c r="G19" s="750">
        <v>1</v>
      </c>
      <c r="H19" s="760">
        <f t="shared" si="1"/>
        <v>1</v>
      </c>
      <c r="I19" s="46">
        <v>16184.472</v>
      </c>
      <c r="J19" s="758">
        <v>43409</v>
      </c>
      <c r="K19" s="757" t="s">
        <v>2425</v>
      </c>
      <c r="L19" s="761" t="s">
        <v>972</v>
      </c>
    </row>
    <row r="20" spans="1:12">
      <c r="A20" s="488" t="s">
        <v>1027</v>
      </c>
      <c r="B20" s="488" t="s">
        <v>1036</v>
      </c>
      <c r="C20" s="757" t="s">
        <v>2398</v>
      </c>
      <c r="D20" s="101">
        <v>43328</v>
      </c>
      <c r="F20" s="759">
        <f t="shared" si="0"/>
        <v>5901.835</v>
      </c>
      <c r="G20" s="750">
        <v>1</v>
      </c>
      <c r="H20" s="760">
        <f t="shared" si="1"/>
        <v>1</v>
      </c>
      <c r="I20" s="46">
        <v>5901.835</v>
      </c>
      <c r="J20" s="758">
        <v>43419</v>
      </c>
      <c r="K20" s="757" t="s">
        <v>2424</v>
      </c>
      <c r="L20" s="761" t="s">
        <v>972</v>
      </c>
    </row>
    <row r="21" spans="1:12">
      <c r="A21" s="488" t="s">
        <v>1027</v>
      </c>
      <c r="B21" s="488" t="s">
        <v>1194</v>
      </c>
      <c r="C21" s="757" t="s">
        <v>2394</v>
      </c>
      <c r="D21" s="101">
        <v>43328</v>
      </c>
      <c r="F21" s="759">
        <f t="shared" si="0"/>
        <v>2340.7890000000002</v>
      </c>
      <c r="G21" s="750">
        <v>1</v>
      </c>
      <c r="H21" s="760">
        <f t="shared" si="1"/>
        <v>1</v>
      </c>
      <c r="I21" s="46">
        <v>2340.7890000000002</v>
      </c>
      <c r="J21" s="758">
        <v>43419</v>
      </c>
      <c r="K21" s="757" t="s">
        <v>2420</v>
      </c>
      <c r="L21" s="762" t="s">
        <v>972</v>
      </c>
    </row>
    <row r="22" spans="1:12">
      <c r="A22" s="488" t="s">
        <v>1027</v>
      </c>
      <c r="B22" s="488" t="s">
        <v>1232</v>
      </c>
      <c r="C22" s="757" t="s">
        <v>2389</v>
      </c>
      <c r="D22" s="101">
        <v>43328</v>
      </c>
      <c r="F22" s="759">
        <f t="shared" si="0"/>
        <v>862.16600000000005</v>
      </c>
      <c r="G22" s="750">
        <v>1</v>
      </c>
      <c r="H22" s="760">
        <f t="shared" si="1"/>
        <v>1</v>
      </c>
      <c r="I22" s="46">
        <v>862.16600000000005</v>
      </c>
      <c r="J22" s="758">
        <v>43419</v>
      </c>
      <c r="K22" s="757" t="s">
        <v>2415</v>
      </c>
      <c r="L22" s="762" t="s">
        <v>972</v>
      </c>
    </row>
    <row r="23" spans="1:12">
      <c r="A23" s="761" t="s">
        <v>968</v>
      </c>
      <c r="B23" s="761" t="s">
        <v>1039</v>
      </c>
      <c r="C23" s="765" t="s">
        <v>1040</v>
      </c>
      <c r="D23" s="758">
        <v>42951</v>
      </c>
      <c r="F23" s="759">
        <f t="shared" si="0"/>
        <v>612.505</v>
      </c>
      <c r="G23" s="750">
        <v>1</v>
      </c>
      <c r="H23" s="760">
        <f t="shared" si="1"/>
        <v>1</v>
      </c>
      <c r="I23" s="764">
        <v>612.505</v>
      </c>
      <c r="J23" s="758">
        <f t="shared" ref="J23:J47" si="3">+D23</f>
        <v>42951</v>
      </c>
      <c r="K23" s="765" t="s">
        <v>1041</v>
      </c>
      <c r="L23" s="733" t="s">
        <v>1042</v>
      </c>
    </row>
    <row r="24" spans="1:12">
      <c r="A24" s="761" t="s">
        <v>968</v>
      </c>
      <c r="B24" s="761" t="s">
        <v>1039</v>
      </c>
      <c r="C24" s="765" t="s">
        <v>1043</v>
      </c>
      <c r="D24" s="758">
        <v>42958</v>
      </c>
      <c r="F24" s="759">
        <f t="shared" si="0"/>
        <v>350.947</v>
      </c>
      <c r="G24" s="750">
        <v>1</v>
      </c>
      <c r="H24" s="760">
        <f t="shared" si="1"/>
        <v>1</v>
      </c>
      <c r="I24" s="764">
        <v>350.947</v>
      </c>
      <c r="J24" s="758">
        <f t="shared" si="3"/>
        <v>42958</v>
      </c>
      <c r="K24" s="765" t="s">
        <v>1044</v>
      </c>
      <c r="L24" s="733" t="s">
        <v>1042</v>
      </c>
    </row>
    <row r="25" spans="1:12">
      <c r="A25" s="761" t="s">
        <v>968</v>
      </c>
      <c r="B25" s="761" t="s">
        <v>1045</v>
      </c>
      <c r="C25" s="765" t="s">
        <v>1046</v>
      </c>
      <c r="D25" s="758">
        <v>42990</v>
      </c>
      <c r="F25" s="759">
        <f t="shared" si="0"/>
        <v>183.9</v>
      </c>
      <c r="G25" s="750">
        <v>1</v>
      </c>
      <c r="H25" s="760">
        <f t="shared" si="1"/>
        <v>1</v>
      </c>
      <c r="I25" s="764">
        <v>183.9</v>
      </c>
      <c r="J25" s="758">
        <f t="shared" si="3"/>
        <v>42990</v>
      </c>
      <c r="K25" s="765" t="s">
        <v>1047</v>
      </c>
      <c r="L25" s="733" t="s">
        <v>1042</v>
      </c>
    </row>
    <row r="26" spans="1:12">
      <c r="A26" s="761" t="s">
        <v>968</v>
      </c>
      <c r="B26" s="761" t="s">
        <v>1039</v>
      </c>
      <c r="C26" s="765" t="s">
        <v>1048</v>
      </c>
      <c r="D26" s="758">
        <v>42990</v>
      </c>
      <c r="F26" s="759">
        <f t="shared" si="0"/>
        <v>397.68799999999999</v>
      </c>
      <c r="G26" s="750">
        <v>1</v>
      </c>
      <c r="H26" s="760">
        <f t="shared" si="1"/>
        <v>1</v>
      </c>
      <c r="I26" s="764">
        <v>397.68799999999999</v>
      </c>
      <c r="J26" s="758">
        <f t="shared" si="3"/>
        <v>42990</v>
      </c>
      <c r="K26" s="765" t="s">
        <v>1049</v>
      </c>
      <c r="L26" s="733" t="s">
        <v>1042</v>
      </c>
    </row>
    <row r="27" spans="1:12">
      <c r="A27" s="761" t="s">
        <v>968</v>
      </c>
      <c r="B27" s="761" t="s">
        <v>1050</v>
      </c>
      <c r="C27" s="765" t="s">
        <v>1051</v>
      </c>
      <c r="D27" s="758">
        <v>43066</v>
      </c>
      <c r="F27" s="759">
        <f t="shared" si="0"/>
        <v>143.51599999999999</v>
      </c>
      <c r="G27" s="750">
        <v>1</v>
      </c>
      <c r="H27" s="760">
        <f t="shared" si="1"/>
        <v>1</v>
      </c>
      <c r="I27" s="764">
        <v>143.51599999999999</v>
      </c>
      <c r="J27" s="758">
        <f t="shared" si="3"/>
        <v>43066</v>
      </c>
      <c r="K27" s="765" t="s">
        <v>1052</v>
      </c>
      <c r="L27" s="733" t="s">
        <v>1042</v>
      </c>
    </row>
    <row r="28" spans="1:12">
      <c r="A28" s="761" t="s">
        <v>968</v>
      </c>
      <c r="B28" s="761" t="s">
        <v>1039</v>
      </c>
      <c r="C28" s="765" t="s">
        <v>1053</v>
      </c>
      <c r="D28" s="758">
        <v>43203</v>
      </c>
      <c r="F28" s="759">
        <f t="shared" si="0"/>
        <v>201.91</v>
      </c>
      <c r="G28" s="750">
        <v>1</v>
      </c>
      <c r="H28" s="760">
        <f t="shared" si="1"/>
        <v>1</v>
      </c>
      <c r="I28" s="764">
        <v>201.91</v>
      </c>
      <c r="J28" s="758">
        <f t="shared" si="3"/>
        <v>43203</v>
      </c>
      <c r="K28" s="765" t="s">
        <v>1054</v>
      </c>
      <c r="L28" s="733" t="s">
        <v>1042</v>
      </c>
    </row>
    <row r="29" spans="1:12">
      <c r="A29" s="761" t="s">
        <v>968</v>
      </c>
      <c r="B29" s="761" t="s">
        <v>1055</v>
      </c>
      <c r="C29" s="765" t="s">
        <v>1056</v>
      </c>
      <c r="D29" s="758">
        <v>43217</v>
      </c>
      <c r="F29" s="759">
        <f t="shared" si="0"/>
        <v>307.08499999999998</v>
      </c>
      <c r="G29" s="750">
        <v>1</v>
      </c>
      <c r="H29" s="760">
        <f t="shared" si="1"/>
        <v>1</v>
      </c>
      <c r="I29" s="764">
        <v>307.08499999999998</v>
      </c>
      <c r="J29" s="758">
        <f t="shared" si="3"/>
        <v>43217</v>
      </c>
      <c r="K29" s="765" t="s">
        <v>1057</v>
      </c>
      <c r="L29" s="733" t="s">
        <v>1042</v>
      </c>
    </row>
    <row r="30" spans="1:12">
      <c r="A30" s="761" t="s">
        <v>968</v>
      </c>
      <c r="B30" s="761" t="s">
        <v>1058</v>
      </c>
      <c r="C30" s="765" t="s">
        <v>1059</v>
      </c>
      <c r="D30" s="758">
        <v>43243</v>
      </c>
      <c r="F30" s="759">
        <f t="shared" si="0"/>
        <v>997.73699999999997</v>
      </c>
      <c r="G30" s="750">
        <v>1</v>
      </c>
      <c r="H30" s="760">
        <f t="shared" si="1"/>
        <v>1</v>
      </c>
      <c r="I30" s="764">
        <v>997.73699999999997</v>
      </c>
      <c r="J30" s="758">
        <f t="shared" si="3"/>
        <v>43243</v>
      </c>
      <c r="K30" s="765" t="s">
        <v>1060</v>
      </c>
      <c r="L30" s="733" t="s">
        <v>1042</v>
      </c>
    </row>
    <row r="31" spans="1:12">
      <c r="A31" s="761" t="s">
        <v>968</v>
      </c>
      <c r="B31" s="761" t="s">
        <v>1061</v>
      </c>
      <c r="C31" s="765" t="s">
        <v>1062</v>
      </c>
      <c r="D31" s="758">
        <v>43250</v>
      </c>
      <c r="F31" s="759">
        <f t="shared" si="0"/>
        <v>988.3</v>
      </c>
      <c r="G31" s="750">
        <v>1</v>
      </c>
      <c r="H31" s="760">
        <f t="shared" si="1"/>
        <v>1</v>
      </c>
      <c r="I31" s="764">
        <v>988.3</v>
      </c>
      <c r="J31" s="758">
        <f t="shared" si="3"/>
        <v>43250</v>
      </c>
      <c r="K31" s="765" t="s">
        <v>1063</v>
      </c>
      <c r="L31" s="733" t="s">
        <v>1042</v>
      </c>
    </row>
    <row r="32" spans="1:12">
      <c r="A32" s="761" t="s">
        <v>968</v>
      </c>
      <c r="B32" s="761" t="s">
        <v>1064</v>
      </c>
      <c r="C32" s="765" t="s">
        <v>1065</v>
      </c>
      <c r="D32" s="758">
        <v>43250</v>
      </c>
      <c r="F32" s="759">
        <f t="shared" si="0"/>
        <v>339.75</v>
      </c>
      <c r="G32" s="750">
        <v>1</v>
      </c>
      <c r="H32" s="760">
        <f t="shared" si="1"/>
        <v>1</v>
      </c>
      <c r="I32" s="764">
        <v>339.75</v>
      </c>
      <c r="J32" s="758">
        <f t="shared" si="3"/>
        <v>43250</v>
      </c>
      <c r="K32" s="765" t="s">
        <v>1066</v>
      </c>
      <c r="L32" s="733" t="s">
        <v>1042</v>
      </c>
    </row>
    <row r="33" spans="1:20">
      <c r="A33" s="761" t="s">
        <v>968</v>
      </c>
      <c r="B33" s="761" t="s">
        <v>1067</v>
      </c>
      <c r="C33" s="765" t="s">
        <v>1068</v>
      </c>
      <c r="D33" s="758">
        <v>43276</v>
      </c>
      <c r="F33" s="759">
        <f t="shared" si="0"/>
        <v>355.91399999999999</v>
      </c>
      <c r="G33" s="750">
        <v>1</v>
      </c>
      <c r="H33" s="760">
        <f t="shared" si="1"/>
        <v>1</v>
      </c>
      <c r="I33" s="764">
        <v>355.91399999999999</v>
      </c>
      <c r="J33" s="758">
        <f t="shared" si="3"/>
        <v>43276</v>
      </c>
      <c r="K33" s="765" t="s">
        <v>1069</v>
      </c>
      <c r="L33" s="733" t="s">
        <v>1042</v>
      </c>
    </row>
    <row r="34" spans="1:20">
      <c r="A34" s="761" t="s">
        <v>968</v>
      </c>
      <c r="B34" s="761" t="s">
        <v>1070</v>
      </c>
      <c r="C34" s="765" t="s">
        <v>1071</v>
      </c>
      <c r="D34" s="758">
        <v>43276</v>
      </c>
      <c r="F34" s="759">
        <f t="shared" ref="F34:F65" si="4">SUM(I34*G34)</f>
        <v>784.78099999999995</v>
      </c>
      <c r="G34" s="750">
        <v>1</v>
      </c>
      <c r="H34" s="760">
        <f t="shared" ref="H34:H65" si="5">IF(E34="",1,0)</f>
        <v>1</v>
      </c>
      <c r="I34" s="764">
        <v>784.78099999999995</v>
      </c>
      <c r="J34" s="758">
        <f t="shared" si="3"/>
        <v>43276</v>
      </c>
      <c r="K34" s="765" t="s">
        <v>1072</v>
      </c>
      <c r="L34" s="733" t="s">
        <v>1042</v>
      </c>
    </row>
    <row r="35" spans="1:20">
      <c r="A35" s="761" t="s">
        <v>968</v>
      </c>
      <c r="B35" s="761" t="s">
        <v>1073</v>
      </c>
      <c r="C35" s="765" t="s">
        <v>1074</v>
      </c>
      <c r="D35" s="758">
        <v>43276</v>
      </c>
      <c r="F35" s="759">
        <f t="shared" si="4"/>
        <v>433.76</v>
      </c>
      <c r="G35" s="750">
        <v>1</v>
      </c>
      <c r="H35" s="760">
        <f t="shared" si="5"/>
        <v>1</v>
      </c>
      <c r="I35" s="764">
        <v>433.76</v>
      </c>
      <c r="J35" s="758">
        <f t="shared" si="3"/>
        <v>43276</v>
      </c>
      <c r="K35" s="765" t="s">
        <v>1075</v>
      </c>
      <c r="L35" s="733" t="s">
        <v>1042</v>
      </c>
    </row>
    <row r="36" spans="1:20">
      <c r="A36" s="761" t="s">
        <v>968</v>
      </c>
      <c r="B36" s="761" t="s">
        <v>969</v>
      </c>
      <c r="C36" s="765" t="s">
        <v>1076</v>
      </c>
      <c r="D36" s="758">
        <v>43276</v>
      </c>
      <c r="F36" s="759">
        <f t="shared" si="4"/>
        <v>222.71199999999999</v>
      </c>
      <c r="G36" s="750">
        <v>1</v>
      </c>
      <c r="H36" s="760">
        <f t="shared" si="5"/>
        <v>1</v>
      </c>
      <c r="I36" s="764">
        <v>222.71199999999999</v>
      </c>
      <c r="J36" s="758">
        <f t="shared" si="3"/>
        <v>43276</v>
      </c>
      <c r="K36" s="765" t="s">
        <v>1077</v>
      </c>
      <c r="L36" s="766" t="s">
        <v>1042</v>
      </c>
    </row>
    <row r="37" spans="1:20">
      <c r="A37" s="761" t="s">
        <v>968</v>
      </c>
      <c r="B37" s="761" t="s">
        <v>1078</v>
      </c>
      <c r="C37" s="765" t="s">
        <v>1079</v>
      </c>
      <c r="D37" s="758">
        <v>43278</v>
      </c>
      <c r="F37" s="759">
        <f t="shared" si="4"/>
        <v>4428.7870000000003</v>
      </c>
      <c r="G37" s="750">
        <v>1</v>
      </c>
      <c r="H37" s="760">
        <f t="shared" si="5"/>
        <v>1</v>
      </c>
      <c r="I37" s="764">
        <v>4428.7870000000003</v>
      </c>
      <c r="J37" s="758">
        <f t="shared" si="3"/>
        <v>43278</v>
      </c>
      <c r="K37" s="765" t="s">
        <v>1080</v>
      </c>
      <c r="L37" s="766" t="s">
        <v>1042</v>
      </c>
    </row>
    <row r="38" spans="1:20">
      <c r="A38" s="761" t="s">
        <v>968</v>
      </c>
      <c r="B38" s="761" t="s">
        <v>1070</v>
      </c>
      <c r="C38" s="765" t="s">
        <v>1081</v>
      </c>
      <c r="D38" s="758">
        <v>43284</v>
      </c>
      <c r="F38" s="759">
        <f t="shared" si="4"/>
        <v>222.97800000000001</v>
      </c>
      <c r="G38" s="750">
        <v>1</v>
      </c>
      <c r="H38" s="760">
        <f t="shared" si="5"/>
        <v>1</v>
      </c>
      <c r="I38" s="764">
        <v>222.97800000000001</v>
      </c>
      <c r="J38" s="758">
        <f t="shared" si="3"/>
        <v>43284</v>
      </c>
      <c r="K38" s="765" t="s">
        <v>1082</v>
      </c>
      <c r="L38" s="733" t="s">
        <v>1042</v>
      </c>
    </row>
    <row r="39" spans="1:20">
      <c r="A39" s="761" t="s">
        <v>968</v>
      </c>
      <c r="B39" s="761" t="s">
        <v>1083</v>
      </c>
      <c r="C39" s="765" t="s">
        <v>1084</v>
      </c>
      <c r="D39" s="758">
        <v>43287</v>
      </c>
      <c r="F39" s="759">
        <f t="shared" si="4"/>
        <v>902.03300000000002</v>
      </c>
      <c r="G39" s="750">
        <v>1</v>
      </c>
      <c r="H39" s="760">
        <f t="shared" si="5"/>
        <v>1</v>
      </c>
      <c r="I39" s="764">
        <v>902.03300000000002</v>
      </c>
      <c r="J39" s="758">
        <f t="shared" si="3"/>
        <v>43287</v>
      </c>
      <c r="K39" s="765" t="s">
        <v>1085</v>
      </c>
      <c r="L39" s="733" t="s">
        <v>1042</v>
      </c>
    </row>
    <row r="40" spans="1:20">
      <c r="A40" s="761" t="s">
        <v>968</v>
      </c>
      <c r="B40" s="761" t="s">
        <v>1010</v>
      </c>
      <c r="C40" s="765" t="s">
        <v>1086</v>
      </c>
      <c r="D40" s="758">
        <v>43293</v>
      </c>
      <c r="F40" s="759">
        <f t="shared" si="4"/>
        <v>138.97300000000001</v>
      </c>
      <c r="G40" s="750">
        <v>1</v>
      </c>
      <c r="H40" s="760">
        <f t="shared" si="5"/>
        <v>1</v>
      </c>
      <c r="I40" s="764">
        <v>138.97300000000001</v>
      </c>
      <c r="J40" s="758">
        <f t="shared" si="3"/>
        <v>43293</v>
      </c>
      <c r="K40" s="765" t="s">
        <v>1087</v>
      </c>
      <c r="L40" s="733" t="s">
        <v>1042</v>
      </c>
    </row>
    <row r="41" spans="1:20">
      <c r="A41" s="761" t="s">
        <v>968</v>
      </c>
      <c r="B41" s="761" t="s">
        <v>1091</v>
      </c>
      <c r="C41" s="765" t="s">
        <v>1092</v>
      </c>
      <c r="D41" s="758">
        <v>43297</v>
      </c>
      <c r="F41" s="759">
        <f t="shared" si="4"/>
        <v>719.33600000000001</v>
      </c>
      <c r="G41" s="750">
        <v>1</v>
      </c>
      <c r="H41" s="760">
        <f t="shared" si="5"/>
        <v>1</v>
      </c>
      <c r="I41" s="764">
        <v>719.33600000000001</v>
      </c>
      <c r="J41" s="758">
        <f t="shared" si="3"/>
        <v>43297</v>
      </c>
      <c r="K41" s="765" t="s">
        <v>1093</v>
      </c>
      <c r="L41" s="733" t="s">
        <v>1042</v>
      </c>
    </row>
    <row r="42" spans="1:20">
      <c r="A42" s="761" t="s">
        <v>968</v>
      </c>
      <c r="B42" s="761" t="s">
        <v>1094</v>
      </c>
      <c r="C42" s="765" t="s">
        <v>1095</v>
      </c>
      <c r="D42" s="758">
        <v>43301</v>
      </c>
      <c r="F42" s="759">
        <f t="shared" si="4"/>
        <v>827.88800000000003</v>
      </c>
      <c r="G42" s="750">
        <v>1</v>
      </c>
      <c r="H42" s="760">
        <f t="shared" si="5"/>
        <v>1</v>
      </c>
      <c r="I42" s="764">
        <v>827.88800000000003</v>
      </c>
      <c r="J42" s="758">
        <f t="shared" si="3"/>
        <v>43301</v>
      </c>
      <c r="K42" s="765" t="s">
        <v>1096</v>
      </c>
      <c r="L42" s="733" t="s">
        <v>1042</v>
      </c>
    </row>
    <row r="43" spans="1:20">
      <c r="A43" s="761" t="s">
        <v>968</v>
      </c>
      <c r="B43" s="761" t="s">
        <v>969</v>
      </c>
      <c r="C43" s="765" t="s">
        <v>1104</v>
      </c>
      <c r="D43" s="758">
        <v>43301</v>
      </c>
      <c r="F43" s="759">
        <f t="shared" si="4"/>
        <v>138.59</v>
      </c>
      <c r="G43" s="750">
        <v>1</v>
      </c>
      <c r="H43" s="760">
        <f t="shared" si="5"/>
        <v>1</v>
      </c>
      <c r="I43" s="764">
        <v>138.59</v>
      </c>
      <c r="J43" s="758">
        <f t="shared" si="3"/>
        <v>43301</v>
      </c>
      <c r="K43" s="765" t="s">
        <v>1105</v>
      </c>
      <c r="L43" s="733" t="s">
        <v>1042</v>
      </c>
    </row>
    <row r="44" spans="1:20">
      <c r="A44" s="761" t="s">
        <v>968</v>
      </c>
      <c r="B44" s="761" t="s">
        <v>1106</v>
      </c>
      <c r="C44" s="765" t="s">
        <v>1107</v>
      </c>
      <c r="D44" s="758">
        <v>43305</v>
      </c>
      <c r="F44" s="759">
        <f t="shared" si="4"/>
        <v>701.6</v>
      </c>
      <c r="G44" s="750">
        <v>1</v>
      </c>
      <c r="H44" s="760">
        <f t="shared" si="5"/>
        <v>1</v>
      </c>
      <c r="I44" s="764">
        <v>701.6</v>
      </c>
      <c r="J44" s="758">
        <f t="shared" si="3"/>
        <v>43305</v>
      </c>
      <c r="K44" s="765" t="s">
        <v>1108</v>
      </c>
      <c r="L44" s="733" t="s">
        <v>1042</v>
      </c>
    </row>
    <row r="45" spans="1:20">
      <c r="A45" s="761" t="s">
        <v>968</v>
      </c>
      <c r="B45" s="761" t="s">
        <v>1061</v>
      </c>
      <c r="C45" s="765" t="s">
        <v>1109</v>
      </c>
      <c r="D45" s="758">
        <v>43305</v>
      </c>
      <c r="F45" s="759">
        <f t="shared" si="4"/>
        <v>720.55</v>
      </c>
      <c r="G45" s="750">
        <v>1</v>
      </c>
      <c r="H45" s="760">
        <f t="shared" si="5"/>
        <v>1</v>
      </c>
      <c r="I45" s="764">
        <v>720.55</v>
      </c>
      <c r="J45" s="758">
        <f t="shared" si="3"/>
        <v>43305</v>
      </c>
      <c r="K45" s="765" t="s">
        <v>1110</v>
      </c>
      <c r="L45" s="733" t="s">
        <v>1042</v>
      </c>
    </row>
    <row r="46" spans="1:20">
      <c r="A46" s="761" t="s">
        <v>968</v>
      </c>
      <c r="B46" s="761" t="s">
        <v>1010</v>
      </c>
      <c r="C46" s="765" t="s">
        <v>1111</v>
      </c>
      <c r="D46" s="758">
        <v>43311</v>
      </c>
      <c r="F46" s="759">
        <f t="shared" si="4"/>
        <v>1213.2809999999999</v>
      </c>
      <c r="G46" s="750">
        <v>1</v>
      </c>
      <c r="H46" s="760">
        <f t="shared" si="5"/>
        <v>1</v>
      </c>
      <c r="I46" s="764">
        <v>1213.2809999999999</v>
      </c>
      <c r="J46" s="758">
        <f t="shared" si="3"/>
        <v>43311</v>
      </c>
      <c r="K46" s="765" t="s">
        <v>1112</v>
      </c>
      <c r="L46" s="733" t="s">
        <v>1042</v>
      </c>
    </row>
    <row r="47" spans="1:20">
      <c r="A47" s="761" t="s">
        <v>968</v>
      </c>
      <c r="B47" s="761" t="s">
        <v>1115</v>
      </c>
      <c r="C47" s="765" t="s">
        <v>1116</v>
      </c>
      <c r="D47" s="758">
        <v>43312</v>
      </c>
      <c r="F47" s="759">
        <f t="shared" si="4"/>
        <v>3224.0039999999999</v>
      </c>
      <c r="G47" s="750">
        <v>1</v>
      </c>
      <c r="H47" s="760">
        <f t="shared" si="5"/>
        <v>1</v>
      </c>
      <c r="I47" s="764">
        <v>3224.0039999999999</v>
      </c>
      <c r="J47" s="758">
        <f t="shared" si="3"/>
        <v>43312</v>
      </c>
      <c r="K47" s="765" t="s">
        <v>1117</v>
      </c>
      <c r="L47" s="733" t="s">
        <v>1042</v>
      </c>
    </row>
    <row r="48" spans="1:20">
      <c r="A48" s="761" t="s">
        <v>1027</v>
      </c>
      <c r="B48" s="761" t="s">
        <v>1118</v>
      </c>
      <c r="C48" s="765" t="s">
        <v>1119</v>
      </c>
      <c r="D48" s="758">
        <v>43284</v>
      </c>
      <c r="F48" s="759">
        <f t="shared" si="4"/>
        <v>505.81299999999999</v>
      </c>
      <c r="G48" s="750">
        <v>1</v>
      </c>
      <c r="H48" s="760">
        <f t="shared" si="5"/>
        <v>1</v>
      </c>
      <c r="I48" s="764">
        <v>505.81299999999999</v>
      </c>
      <c r="J48" s="758">
        <v>43317</v>
      </c>
      <c r="K48" s="765" t="s">
        <v>1120</v>
      </c>
      <c r="L48" s="766" t="s">
        <v>1042</v>
      </c>
      <c r="T48" s="816"/>
    </row>
    <row r="49" spans="1:12">
      <c r="A49" s="488" t="s">
        <v>968</v>
      </c>
      <c r="B49" s="488" t="s">
        <v>969</v>
      </c>
      <c r="C49" s="757" t="s">
        <v>970</v>
      </c>
      <c r="D49" s="101">
        <v>43318</v>
      </c>
      <c r="F49" s="759">
        <f t="shared" si="4"/>
        <v>146.62799999999999</v>
      </c>
      <c r="G49" s="750">
        <v>1</v>
      </c>
      <c r="H49" s="760">
        <f t="shared" si="5"/>
        <v>1</v>
      </c>
      <c r="I49" s="46">
        <v>146.62799999999999</v>
      </c>
      <c r="J49" s="758">
        <f t="shared" ref="J49:J60" si="6">D49</f>
        <v>43318</v>
      </c>
      <c r="K49" s="757" t="s">
        <v>971</v>
      </c>
      <c r="L49" s="761" t="s">
        <v>1042</v>
      </c>
    </row>
    <row r="50" spans="1:12">
      <c r="A50" s="488" t="s">
        <v>968</v>
      </c>
      <c r="B50" s="488" t="s">
        <v>973</v>
      </c>
      <c r="C50" s="757" t="s">
        <v>974</v>
      </c>
      <c r="D50" s="101">
        <v>43318</v>
      </c>
      <c r="F50" s="759">
        <f t="shared" si="4"/>
        <v>161.25</v>
      </c>
      <c r="G50" s="750">
        <v>1</v>
      </c>
      <c r="H50" s="760">
        <f t="shared" si="5"/>
        <v>1</v>
      </c>
      <c r="I50" s="46">
        <v>161.25</v>
      </c>
      <c r="J50" s="758">
        <f t="shared" si="6"/>
        <v>43318</v>
      </c>
      <c r="K50" s="757" t="s">
        <v>975</v>
      </c>
      <c r="L50" s="761" t="s">
        <v>1042</v>
      </c>
    </row>
    <row r="51" spans="1:12">
      <c r="A51" s="488" t="s">
        <v>968</v>
      </c>
      <c r="B51" s="488" t="s">
        <v>976</v>
      </c>
      <c r="C51" s="757" t="s">
        <v>977</v>
      </c>
      <c r="D51" s="101">
        <v>43318</v>
      </c>
      <c r="F51" s="759">
        <f t="shared" si="4"/>
        <v>5979.1480000000001</v>
      </c>
      <c r="G51" s="750">
        <v>1</v>
      </c>
      <c r="H51" s="760">
        <f t="shared" si="5"/>
        <v>1</v>
      </c>
      <c r="I51" s="46">
        <v>5979.1480000000001</v>
      </c>
      <c r="J51" s="758">
        <f t="shared" si="6"/>
        <v>43318</v>
      </c>
      <c r="K51" s="757" t="s">
        <v>978</v>
      </c>
      <c r="L51" s="761" t="s">
        <v>1042</v>
      </c>
    </row>
    <row r="52" spans="1:12">
      <c r="A52" s="488" t="s">
        <v>968</v>
      </c>
      <c r="B52" s="488" t="s">
        <v>979</v>
      </c>
      <c r="C52" s="757" t="s">
        <v>980</v>
      </c>
      <c r="D52" s="101">
        <v>43318</v>
      </c>
      <c r="E52" s="758">
        <v>43336</v>
      </c>
      <c r="F52" s="759">
        <f t="shared" si="4"/>
        <v>1055.569</v>
      </c>
      <c r="G52" s="750">
        <v>1</v>
      </c>
      <c r="H52" s="760">
        <f t="shared" si="5"/>
        <v>0</v>
      </c>
      <c r="I52" s="46">
        <v>1055.569</v>
      </c>
      <c r="J52" s="758">
        <f t="shared" si="6"/>
        <v>43318</v>
      </c>
      <c r="K52" s="757" t="s">
        <v>981</v>
      </c>
      <c r="L52" s="762"/>
    </row>
    <row r="53" spans="1:12">
      <c r="A53" s="488" t="s">
        <v>968</v>
      </c>
      <c r="B53" s="488" t="s">
        <v>982</v>
      </c>
      <c r="C53" s="757" t="s">
        <v>983</v>
      </c>
      <c r="D53" s="101">
        <v>43318</v>
      </c>
      <c r="F53" s="759">
        <f t="shared" si="4"/>
        <v>115.97499999999999</v>
      </c>
      <c r="G53" s="750">
        <v>1</v>
      </c>
      <c r="H53" s="760">
        <f t="shared" si="5"/>
        <v>1</v>
      </c>
      <c r="I53" s="46">
        <v>115.97499999999999</v>
      </c>
      <c r="J53" s="758">
        <f t="shared" si="6"/>
        <v>43318</v>
      </c>
      <c r="K53" s="757" t="s">
        <v>984</v>
      </c>
      <c r="L53" s="762" t="s">
        <v>1042</v>
      </c>
    </row>
    <row r="54" spans="1:12">
      <c r="A54" s="488" t="s">
        <v>968</v>
      </c>
      <c r="B54" s="488" t="s">
        <v>985</v>
      </c>
      <c r="C54" s="757" t="s">
        <v>986</v>
      </c>
      <c r="D54" s="101">
        <v>43318</v>
      </c>
      <c r="F54" s="759">
        <f t="shared" si="4"/>
        <v>330</v>
      </c>
      <c r="G54" s="750">
        <v>1</v>
      </c>
      <c r="H54" s="760">
        <f t="shared" si="5"/>
        <v>1</v>
      </c>
      <c r="I54" s="46">
        <v>330</v>
      </c>
      <c r="J54" s="758">
        <f t="shared" si="6"/>
        <v>43318</v>
      </c>
      <c r="K54" s="757" t="s">
        <v>987</v>
      </c>
      <c r="L54" s="762" t="s">
        <v>1042</v>
      </c>
    </row>
    <row r="55" spans="1:12">
      <c r="A55" s="488" t="s">
        <v>968</v>
      </c>
      <c r="B55" s="488" t="s">
        <v>988</v>
      </c>
      <c r="C55" s="757" t="s">
        <v>989</v>
      </c>
      <c r="D55" s="101">
        <v>43318</v>
      </c>
      <c r="F55" s="759">
        <f t="shared" si="4"/>
        <v>701.97500000000002</v>
      </c>
      <c r="G55" s="750">
        <v>1</v>
      </c>
      <c r="H55" s="760">
        <f t="shared" si="5"/>
        <v>1</v>
      </c>
      <c r="I55" s="46">
        <v>701.97500000000002</v>
      </c>
      <c r="J55" s="758">
        <f t="shared" si="6"/>
        <v>43318</v>
      </c>
      <c r="K55" s="757" t="s">
        <v>990</v>
      </c>
      <c r="L55" s="762" t="s">
        <v>1042</v>
      </c>
    </row>
    <row r="56" spans="1:12">
      <c r="A56" s="488" t="s">
        <v>968</v>
      </c>
      <c r="B56" s="488" t="s">
        <v>991</v>
      </c>
      <c r="C56" s="757" t="s">
        <v>992</v>
      </c>
      <c r="D56" s="101">
        <v>43318</v>
      </c>
      <c r="F56" s="759">
        <f t="shared" si="4"/>
        <v>533.88300000000004</v>
      </c>
      <c r="G56" s="750">
        <v>1</v>
      </c>
      <c r="H56" s="760">
        <f t="shared" si="5"/>
        <v>1</v>
      </c>
      <c r="I56" s="46">
        <v>533.88300000000004</v>
      </c>
      <c r="J56" s="758">
        <f t="shared" si="6"/>
        <v>43318</v>
      </c>
      <c r="K56" s="757" t="s">
        <v>993</v>
      </c>
      <c r="L56" s="762" t="s">
        <v>1042</v>
      </c>
    </row>
    <row r="57" spans="1:12">
      <c r="A57" s="488" t="s">
        <v>968</v>
      </c>
      <c r="B57" s="488" t="s">
        <v>994</v>
      </c>
      <c r="C57" s="757" t="s">
        <v>995</v>
      </c>
      <c r="D57" s="101">
        <v>43318</v>
      </c>
      <c r="F57" s="759">
        <f t="shared" si="4"/>
        <v>1034.25</v>
      </c>
      <c r="G57" s="750">
        <v>1</v>
      </c>
      <c r="H57" s="760">
        <f t="shared" si="5"/>
        <v>1</v>
      </c>
      <c r="I57" s="46">
        <v>1034.25</v>
      </c>
      <c r="J57" s="758">
        <f t="shared" si="6"/>
        <v>43318</v>
      </c>
      <c r="K57" s="757" t="s">
        <v>996</v>
      </c>
      <c r="L57" s="762" t="s">
        <v>1042</v>
      </c>
    </row>
    <row r="58" spans="1:12">
      <c r="A58" s="488" t="s">
        <v>968</v>
      </c>
      <c r="B58" s="488" t="s">
        <v>994</v>
      </c>
      <c r="C58" s="757" t="s">
        <v>997</v>
      </c>
      <c r="D58" s="101">
        <v>43318</v>
      </c>
      <c r="F58" s="759">
        <f t="shared" si="4"/>
        <v>120</v>
      </c>
      <c r="G58" s="750">
        <v>1</v>
      </c>
      <c r="H58" s="760">
        <f t="shared" si="5"/>
        <v>1</v>
      </c>
      <c r="I58" s="46">
        <v>120</v>
      </c>
      <c r="J58" s="758">
        <f t="shared" si="6"/>
        <v>43318</v>
      </c>
      <c r="K58" s="757" t="s">
        <v>998</v>
      </c>
      <c r="L58" s="762" t="s">
        <v>1042</v>
      </c>
    </row>
    <row r="59" spans="1:12">
      <c r="A59" s="488" t="s">
        <v>968</v>
      </c>
      <c r="B59" s="488" t="s">
        <v>1013</v>
      </c>
      <c r="C59" s="757" t="s">
        <v>1014</v>
      </c>
      <c r="D59" s="101">
        <v>43319</v>
      </c>
      <c r="F59" s="759">
        <f t="shared" si="4"/>
        <v>939.28399999999999</v>
      </c>
      <c r="G59" s="750">
        <v>1</v>
      </c>
      <c r="H59" s="760">
        <f t="shared" si="5"/>
        <v>1</v>
      </c>
      <c r="I59" s="46">
        <v>939.28399999999999</v>
      </c>
      <c r="J59" s="758">
        <f t="shared" si="6"/>
        <v>43319</v>
      </c>
      <c r="K59" s="757" t="s">
        <v>1015</v>
      </c>
      <c r="L59" s="762" t="s">
        <v>1042</v>
      </c>
    </row>
    <row r="60" spans="1:12">
      <c r="A60" s="488" t="s">
        <v>968</v>
      </c>
      <c r="B60" s="488" t="s">
        <v>1016</v>
      </c>
      <c r="C60" s="757" t="s">
        <v>1017</v>
      </c>
      <c r="D60" s="101">
        <v>43319</v>
      </c>
      <c r="F60" s="759">
        <f t="shared" si="4"/>
        <v>708.46699999999998</v>
      </c>
      <c r="G60" s="750">
        <v>1</v>
      </c>
      <c r="H60" s="760">
        <f t="shared" si="5"/>
        <v>1</v>
      </c>
      <c r="I60" s="46">
        <v>708.46699999999998</v>
      </c>
      <c r="J60" s="758">
        <f t="shared" si="6"/>
        <v>43319</v>
      </c>
      <c r="K60" s="757" t="s">
        <v>1018</v>
      </c>
      <c r="L60" s="762" t="s">
        <v>1042</v>
      </c>
    </row>
    <row r="61" spans="1:12">
      <c r="A61" s="761" t="s">
        <v>1027</v>
      </c>
      <c r="B61" s="761" t="s">
        <v>1124</v>
      </c>
      <c r="C61" s="765" t="s">
        <v>1125</v>
      </c>
      <c r="D61" s="758">
        <v>43287</v>
      </c>
      <c r="F61" s="759">
        <f t="shared" si="4"/>
        <v>1839.1590000000001</v>
      </c>
      <c r="G61" s="750">
        <v>1</v>
      </c>
      <c r="H61" s="760">
        <f t="shared" si="5"/>
        <v>1</v>
      </c>
      <c r="I61" s="764">
        <v>1839.1590000000001</v>
      </c>
      <c r="J61" s="758">
        <v>43337</v>
      </c>
      <c r="K61" s="765" t="s">
        <v>1126</v>
      </c>
      <c r="L61" s="733" t="s">
        <v>1042</v>
      </c>
    </row>
    <row r="62" spans="1:12">
      <c r="A62" s="761" t="s">
        <v>1027</v>
      </c>
      <c r="B62" s="761" t="s">
        <v>1127</v>
      </c>
      <c r="C62" s="765" t="s">
        <v>1128</v>
      </c>
      <c r="D62" s="758">
        <v>43236</v>
      </c>
      <c r="F62" s="759">
        <f t="shared" si="4"/>
        <v>2185.5450000000001</v>
      </c>
      <c r="G62" s="750">
        <v>1</v>
      </c>
      <c r="H62" s="760">
        <f t="shared" si="5"/>
        <v>1</v>
      </c>
      <c r="I62" s="764">
        <v>2185.5450000000001</v>
      </c>
      <c r="J62" s="758">
        <v>43342</v>
      </c>
      <c r="K62" s="765" t="s">
        <v>1129</v>
      </c>
      <c r="L62" s="733" t="s">
        <v>1042</v>
      </c>
    </row>
    <row r="63" spans="1:12">
      <c r="A63" s="761" t="s">
        <v>1027</v>
      </c>
      <c r="B63" s="761" t="s">
        <v>1028</v>
      </c>
      <c r="C63" s="765" t="s">
        <v>1130</v>
      </c>
      <c r="D63" s="758">
        <v>43311</v>
      </c>
      <c r="F63" s="759">
        <f t="shared" si="4"/>
        <v>829.00800000000004</v>
      </c>
      <c r="G63" s="750">
        <v>1</v>
      </c>
      <c r="H63" s="760">
        <f t="shared" si="5"/>
        <v>1</v>
      </c>
      <c r="I63" s="764">
        <v>829.00800000000004</v>
      </c>
      <c r="J63" s="758">
        <v>43353</v>
      </c>
      <c r="K63" s="765" t="s">
        <v>1131</v>
      </c>
      <c r="L63" s="733" t="s">
        <v>1042</v>
      </c>
    </row>
    <row r="64" spans="1:12">
      <c r="A64" s="761" t="s">
        <v>1027</v>
      </c>
      <c r="B64" s="761" t="s">
        <v>1058</v>
      </c>
      <c r="C64" s="765" t="s">
        <v>1132</v>
      </c>
      <c r="D64" s="758">
        <v>43276</v>
      </c>
      <c r="F64" s="759">
        <f t="shared" si="4"/>
        <v>1320.5139999999999</v>
      </c>
      <c r="G64" s="750">
        <v>1</v>
      </c>
      <c r="H64" s="760">
        <f t="shared" si="5"/>
        <v>1</v>
      </c>
      <c r="I64" s="764">
        <v>1320.5139999999999</v>
      </c>
      <c r="J64" s="758">
        <v>43363</v>
      </c>
      <c r="K64" s="765" t="s">
        <v>1133</v>
      </c>
      <c r="L64" s="766" t="s">
        <v>1042</v>
      </c>
    </row>
    <row r="65" spans="1:12">
      <c r="A65" s="488" t="s">
        <v>1027</v>
      </c>
      <c r="B65" s="488" t="s">
        <v>1134</v>
      </c>
      <c r="C65" s="757" t="s">
        <v>1135</v>
      </c>
      <c r="D65" s="101">
        <v>43313</v>
      </c>
      <c r="F65" s="759">
        <f t="shared" si="4"/>
        <v>2659.502</v>
      </c>
      <c r="G65" s="750">
        <v>1</v>
      </c>
      <c r="H65" s="760">
        <f t="shared" si="5"/>
        <v>1</v>
      </c>
      <c r="I65" s="46">
        <v>2659.502</v>
      </c>
      <c r="J65" s="758">
        <v>43368</v>
      </c>
      <c r="K65" s="757" t="s">
        <v>1136</v>
      </c>
      <c r="L65" s="733" t="s">
        <v>1042</v>
      </c>
    </row>
    <row r="66" spans="1:12">
      <c r="A66" s="488" t="s">
        <v>1027</v>
      </c>
      <c r="B66" s="488" t="s">
        <v>1028</v>
      </c>
      <c r="C66" s="757" t="s">
        <v>1029</v>
      </c>
      <c r="D66" s="101">
        <v>43319</v>
      </c>
      <c r="F66" s="759">
        <f t="shared" ref="F66:F97" si="7">SUM(I66*G66)</f>
        <v>2390.9949999999999</v>
      </c>
      <c r="G66" s="750">
        <v>1</v>
      </c>
      <c r="H66" s="760">
        <f t="shared" ref="H66:H97" si="8">IF(E66="",1,0)</f>
        <v>1</v>
      </c>
      <c r="I66" s="46">
        <v>2390.9949999999999</v>
      </c>
      <c r="J66" s="758">
        <v>43378</v>
      </c>
      <c r="K66" s="757" t="s">
        <v>1030</v>
      </c>
      <c r="L66" s="761" t="s">
        <v>1042</v>
      </c>
    </row>
    <row r="67" spans="1:12">
      <c r="A67" s="488" t="s">
        <v>1027</v>
      </c>
      <c r="B67" s="488" t="s">
        <v>1031</v>
      </c>
      <c r="C67" s="757" t="s">
        <v>1032</v>
      </c>
      <c r="D67" s="101">
        <v>43319</v>
      </c>
      <c r="E67" s="758">
        <v>43336</v>
      </c>
      <c r="F67" s="759">
        <f t="shared" si="7"/>
        <v>5058.1840000000002</v>
      </c>
      <c r="G67" s="750">
        <v>1</v>
      </c>
      <c r="H67" s="760">
        <f t="shared" si="8"/>
        <v>0</v>
      </c>
      <c r="I67" s="46">
        <v>5058.1840000000002</v>
      </c>
      <c r="J67" s="758">
        <v>43383</v>
      </c>
      <c r="K67" s="757" t="s">
        <v>1033</v>
      </c>
    </row>
    <row r="68" spans="1:12">
      <c r="A68" s="761" t="s">
        <v>1027</v>
      </c>
      <c r="B68" s="761" t="s">
        <v>1031</v>
      </c>
      <c r="C68" s="757" t="s">
        <v>1034</v>
      </c>
      <c r="D68" s="758">
        <v>43325</v>
      </c>
      <c r="E68" s="758">
        <v>43336</v>
      </c>
      <c r="F68" s="759">
        <f t="shared" si="7"/>
        <v>4022.5659999999998</v>
      </c>
      <c r="G68" s="750">
        <v>1</v>
      </c>
      <c r="H68" s="760">
        <f t="shared" si="8"/>
        <v>0</v>
      </c>
      <c r="I68" s="764">
        <v>4022.5659999999998</v>
      </c>
      <c r="J68" s="758">
        <v>43393</v>
      </c>
      <c r="K68" s="761" t="s">
        <v>1035</v>
      </c>
    </row>
    <row r="69" spans="1:12">
      <c r="A69" s="761" t="s">
        <v>1027</v>
      </c>
      <c r="B69" s="761" t="s">
        <v>1127</v>
      </c>
      <c r="C69" s="765" t="s">
        <v>1137</v>
      </c>
      <c r="D69" s="758">
        <v>43312</v>
      </c>
      <c r="F69" s="759">
        <f t="shared" si="7"/>
        <v>2338.2640000000001</v>
      </c>
      <c r="G69" s="750">
        <v>1</v>
      </c>
      <c r="H69" s="760">
        <f t="shared" si="8"/>
        <v>1</v>
      </c>
      <c r="I69" s="764">
        <v>2338.2640000000001</v>
      </c>
      <c r="J69" s="758">
        <v>43424</v>
      </c>
      <c r="K69" s="765" t="s">
        <v>1138</v>
      </c>
      <c r="L69" s="733" t="s">
        <v>1042</v>
      </c>
    </row>
    <row r="70" spans="1:12">
      <c r="A70" s="761" t="s">
        <v>968</v>
      </c>
      <c r="B70" s="761" t="s">
        <v>1139</v>
      </c>
      <c r="C70" s="765" t="s">
        <v>1140</v>
      </c>
      <c r="D70" s="758">
        <v>43241</v>
      </c>
      <c r="E70" s="758">
        <v>43314</v>
      </c>
      <c r="F70" s="759">
        <f t="shared" si="7"/>
        <v>476.6</v>
      </c>
      <c r="G70" s="750">
        <v>1</v>
      </c>
      <c r="H70" s="760">
        <f t="shared" si="8"/>
        <v>0</v>
      </c>
      <c r="I70" s="764">
        <v>476.6</v>
      </c>
      <c r="J70" s="758">
        <f t="shared" ref="J70:J77" si="9">+D70</f>
        <v>43241</v>
      </c>
      <c r="K70" s="765" t="s">
        <v>1141</v>
      </c>
    </row>
    <row r="71" spans="1:12">
      <c r="A71" s="761" t="s">
        <v>968</v>
      </c>
      <c r="B71" s="761" t="s">
        <v>991</v>
      </c>
      <c r="C71" s="765" t="s">
        <v>1142</v>
      </c>
      <c r="D71" s="758">
        <v>43293</v>
      </c>
      <c r="E71" s="758">
        <v>43301</v>
      </c>
      <c r="F71" s="759">
        <f t="shared" si="7"/>
        <v>274.63299999999998</v>
      </c>
      <c r="G71" s="750">
        <v>1</v>
      </c>
      <c r="H71" s="760">
        <f t="shared" si="8"/>
        <v>0</v>
      </c>
      <c r="I71" s="764">
        <v>274.63299999999998</v>
      </c>
      <c r="J71" s="758">
        <f t="shared" si="9"/>
        <v>43293</v>
      </c>
      <c r="K71" s="765" t="s">
        <v>1143</v>
      </c>
      <c r="L71" s="733"/>
    </row>
    <row r="72" spans="1:12">
      <c r="A72" s="761" t="s">
        <v>968</v>
      </c>
      <c r="B72" s="761" t="s">
        <v>1088</v>
      </c>
      <c r="C72" s="765" t="s">
        <v>1089</v>
      </c>
      <c r="D72" s="758">
        <v>43293</v>
      </c>
      <c r="E72" s="758">
        <v>43328</v>
      </c>
      <c r="F72" s="759">
        <f t="shared" si="7"/>
        <v>300</v>
      </c>
      <c r="G72" s="750">
        <v>1</v>
      </c>
      <c r="H72" s="760">
        <f t="shared" si="8"/>
        <v>0</v>
      </c>
      <c r="I72" s="764">
        <v>300</v>
      </c>
      <c r="J72" s="758">
        <f t="shared" si="9"/>
        <v>43293</v>
      </c>
      <c r="K72" s="765" t="s">
        <v>1090</v>
      </c>
      <c r="L72" s="733"/>
    </row>
    <row r="73" spans="1:12">
      <c r="A73" s="761" t="s">
        <v>968</v>
      </c>
      <c r="B73" s="761" t="s">
        <v>1144</v>
      </c>
      <c r="C73" s="765" t="s">
        <v>1145</v>
      </c>
      <c r="D73" s="758">
        <v>43293</v>
      </c>
      <c r="E73" s="758">
        <v>43312</v>
      </c>
      <c r="F73" s="759">
        <f t="shared" si="7"/>
        <v>2559.4050000000002</v>
      </c>
      <c r="G73" s="750">
        <v>1</v>
      </c>
      <c r="H73" s="760">
        <f t="shared" si="8"/>
        <v>0</v>
      </c>
      <c r="I73" s="764">
        <v>2559.4050000000002</v>
      </c>
      <c r="J73" s="758">
        <f t="shared" si="9"/>
        <v>43293</v>
      </c>
      <c r="K73" s="765" t="s">
        <v>1146</v>
      </c>
    </row>
    <row r="74" spans="1:12">
      <c r="A74" s="761" t="s">
        <v>968</v>
      </c>
      <c r="B74" s="761" t="s">
        <v>1147</v>
      </c>
      <c r="C74" s="765" t="s">
        <v>1148</v>
      </c>
      <c r="D74" s="758">
        <v>43301</v>
      </c>
      <c r="E74" s="758">
        <v>43311</v>
      </c>
      <c r="F74" s="759">
        <f t="shared" si="7"/>
        <v>409.6</v>
      </c>
      <c r="G74" s="750">
        <v>1</v>
      </c>
      <c r="H74" s="760">
        <f t="shared" si="8"/>
        <v>0</v>
      </c>
      <c r="I74" s="764">
        <v>409.6</v>
      </c>
      <c r="J74" s="758">
        <f t="shared" si="9"/>
        <v>43301</v>
      </c>
      <c r="K74" s="765" t="s">
        <v>1149</v>
      </c>
      <c r="L74" s="733"/>
    </row>
    <row r="75" spans="1:12">
      <c r="A75" s="761" t="s">
        <v>968</v>
      </c>
      <c r="B75" s="761" t="s">
        <v>1097</v>
      </c>
      <c r="C75" s="765" t="s">
        <v>1098</v>
      </c>
      <c r="D75" s="758">
        <v>43301</v>
      </c>
      <c r="E75" s="758">
        <v>43329</v>
      </c>
      <c r="F75" s="759">
        <f t="shared" si="7"/>
        <v>564.66</v>
      </c>
      <c r="G75" s="750">
        <v>1</v>
      </c>
      <c r="H75" s="760">
        <f t="shared" si="8"/>
        <v>0</v>
      </c>
      <c r="I75" s="764">
        <v>564.66</v>
      </c>
      <c r="J75" s="758">
        <f t="shared" si="9"/>
        <v>43301</v>
      </c>
      <c r="K75" s="765" t="s">
        <v>1099</v>
      </c>
      <c r="L75" s="733"/>
    </row>
    <row r="76" spans="1:12">
      <c r="A76" s="761" t="s">
        <v>968</v>
      </c>
      <c r="B76" s="761" t="s">
        <v>1010</v>
      </c>
      <c r="C76" s="765" t="s">
        <v>1100</v>
      </c>
      <c r="D76" s="758">
        <v>43301</v>
      </c>
      <c r="E76" s="758">
        <v>43329</v>
      </c>
      <c r="F76" s="759">
        <f t="shared" si="7"/>
        <v>450.42</v>
      </c>
      <c r="G76" s="750">
        <v>1</v>
      </c>
      <c r="H76" s="760">
        <f t="shared" si="8"/>
        <v>0</v>
      </c>
      <c r="I76" s="764">
        <v>450.42</v>
      </c>
      <c r="J76" s="758">
        <f t="shared" si="9"/>
        <v>43301</v>
      </c>
      <c r="K76" s="765" t="s">
        <v>1101</v>
      </c>
    </row>
    <row r="77" spans="1:12">
      <c r="A77" s="761" t="s">
        <v>968</v>
      </c>
      <c r="B77" s="761" t="s">
        <v>1097</v>
      </c>
      <c r="C77" s="765" t="s">
        <v>1102</v>
      </c>
      <c r="D77" s="758">
        <v>43301</v>
      </c>
      <c r="E77" s="758">
        <v>43329</v>
      </c>
      <c r="F77" s="759">
        <f t="shared" si="7"/>
        <v>4890.8010000000004</v>
      </c>
      <c r="G77" s="750">
        <v>1</v>
      </c>
      <c r="H77" s="760">
        <f t="shared" si="8"/>
        <v>0</v>
      </c>
      <c r="I77" s="764">
        <v>4890.8010000000004</v>
      </c>
      <c r="J77" s="758">
        <f t="shared" si="9"/>
        <v>43301</v>
      </c>
      <c r="K77" s="765" t="s">
        <v>1103</v>
      </c>
    </row>
    <row r="78" spans="1:12">
      <c r="A78" s="761" t="s">
        <v>968</v>
      </c>
      <c r="B78" s="761" t="s">
        <v>1152</v>
      </c>
      <c r="C78" s="765" t="s">
        <v>1153</v>
      </c>
      <c r="D78" s="758">
        <v>43304</v>
      </c>
      <c r="E78" s="758">
        <v>43312</v>
      </c>
      <c r="F78" s="759">
        <f t="shared" si="7"/>
        <v>60.1</v>
      </c>
      <c r="G78" s="750">
        <v>1</v>
      </c>
      <c r="H78" s="760">
        <f t="shared" si="8"/>
        <v>0</v>
      </c>
      <c r="I78" s="764">
        <v>60.1</v>
      </c>
      <c r="J78" s="758">
        <v>43304</v>
      </c>
      <c r="K78" s="765" t="s">
        <v>1154</v>
      </c>
      <c r="L78" s="762"/>
    </row>
    <row r="79" spans="1:12">
      <c r="A79" s="761" t="s">
        <v>968</v>
      </c>
      <c r="B79" s="761" t="s">
        <v>1121</v>
      </c>
      <c r="C79" s="765" t="s">
        <v>1155</v>
      </c>
      <c r="D79" s="758">
        <v>43305</v>
      </c>
      <c r="E79" s="758">
        <v>43311</v>
      </c>
      <c r="F79" s="759">
        <f t="shared" si="7"/>
        <v>0</v>
      </c>
      <c r="G79" s="750">
        <v>0</v>
      </c>
      <c r="H79" s="760">
        <f t="shared" si="8"/>
        <v>0</v>
      </c>
      <c r="I79" s="764">
        <v>789.71299999999997</v>
      </c>
      <c r="J79" s="758">
        <v>43305</v>
      </c>
      <c r="K79" s="765" t="s">
        <v>1156</v>
      </c>
      <c r="L79" s="762"/>
    </row>
    <row r="80" spans="1:12">
      <c r="A80" s="761" t="s">
        <v>968</v>
      </c>
      <c r="B80" s="761" t="s">
        <v>1157</v>
      </c>
      <c r="C80" s="765" t="s">
        <v>1158</v>
      </c>
      <c r="D80" s="758">
        <v>43311</v>
      </c>
      <c r="E80" s="758">
        <v>43311</v>
      </c>
      <c r="F80" s="759">
        <f t="shared" si="7"/>
        <v>156.78800000000001</v>
      </c>
      <c r="G80" s="750">
        <v>1</v>
      </c>
      <c r="H80" s="760">
        <f t="shared" si="8"/>
        <v>0</v>
      </c>
      <c r="I80" s="764">
        <v>156.78800000000001</v>
      </c>
      <c r="J80" s="758">
        <f>+D80</f>
        <v>43311</v>
      </c>
      <c r="K80" s="765" t="s">
        <v>1159</v>
      </c>
      <c r="L80" s="762"/>
    </row>
    <row r="81" spans="1:12">
      <c r="A81" s="761" t="s">
        <v>1027</v>
      </c>
      <c r="B81" s="761" t="s">
        <v>1067</v>
      </c>
      <c r="C81" s="765" t="s">
        <v>1113</v>
      </c>
      <c r="D81" s="758">
        <v>43276</v>
      </c>
      <c r="E81" s="758">
        <v>43329</v>
      </c>
      <c r="F81" s="759">
        <f t="shared" si="7"/>
        <v>361.23099999999999</v>
      </c>
      <c r="G81" s="750">
        <v>1</v>
      </c>
      <c r="H81" s="760">
        <f t="shared" si="8"/>
        <v>0</v>
      </c>
      <c r="I81" s="764">
        <v>361.23099999999999</v>
      </c>
      <c r="J81" s="758">
        <v>43312</v>
      </c>
      <c r="K81" s="765" t="s">
        <v>1114</v>
      </c>
    </row>
    <row r="82" spans="1:12">
      <c r="A82" s="767" t="s">
        <v>968</v>
      </c>
      <c r="B82" s="770" t="s">
        <v>1151</v>
      </c>
      <c r="C82" s="771" t="s">
        <v>1162</v>
      </c>
      <c r="D82" s="772">
        <v>43313</v>
      </c>
      <c r="E82" s="768">
        <v>43315</v>
      </c>
      <c r="F82" s="769">
        <f t="shared" si="7"/>
        <v>0</v>
      </c>
      <c r="G82" s="750">
        <v>1</v>
      </c>
      <c r="H82" s="760">
        <f t="shared" si="8"/>
        <v>0</v>
      </c>
      <c r="I82" s="773">
        <v>0</v>
      </c>
      <c r="J82" s="768">
        <f t="shared" ref="J82:J88" si="10">+D82</f>
        <v>43313</v>
      </c>
      <c r="K82" s="771" t="s">
        <v>1163</v>
      </c>
    </row>
    <row r="83" spans="1:12">
      <c r="A83" s="767" t="s">
        <v>968</v>
      </c>
      <c r="B83" s="770" t="s">
        <v>1150</v>
      </c>
      <c r="C83" s="771" t="s">
        <v>1160</v>
      </c>
      <c r="D83" s="772">
        <v>43313</v>
      </c>
      <c r="E83" s="768">
        <v>43315</v>
      </c>
      <c r="F83" s="769">
        <f t="shared" si="7"/>
        <v>0</v>
      </c>
      <c r="G83" s="750">
        <v>0</v>
      </c>
      <c r="H83" s="760">
        <f t="shared" si="8"/>
        <v>0</v>
      </c>
      <c r="I83" s="773">
        <v>38868.873</v>
      </c>
      <c r="J83" s="768">
        <f t="shared" si="10"/>
        <v>43313</v>
      </c>
      <c r="K83" s="771" t="s">
        <v>1161</v>
      </c>
    </row>
    <row r="84" spans="1:12">
      <c r="A84" s="761" t="s">
        <v>968</v>
      </c>
      <c r="B84" s="488" t="s">
        <v>1164</v>
      </c>
      <c r="C84" s="757" t="s">
        <v>1165</v>
      </c>
      <c r="D84" s="101">
        <v>43313</v>
      </c>
      <c r="E84" s="758">
        <v>43314</v>
      </c>
      <c r="F84" s="759">
        <f t="shared" si="7"/>
        <v>0</v>
      </c>
      <c r="G84" s="750">
        <v>1</v>
      </c>
      <c r="H84" s="760">
        <f t="shared" si="8"/>
        <v>0</v>
      </c>
      <c r="I84" s="46">
        <v>0</v>
      </c>
      <c r="J84" s="758">
        <f t="shared" si="10"/>
        <v>43313</v>
      </c>
      <c r="K84" s="757" t="s">
        <v>1166</v>
      </c>
      <c r="L84" s="762"/>
    </row>
    <row r="85" spans="1:12">
      <c r="A85" s="770" t="s">
        <v>968</v>
      </c>
      <c r="B85" s="770" t="s">
        <v>1169</v>
      </c>
      <c r="C85" s="771" t="s">
        <v>1170</v>
      </c>
      <c r="D85" s="772">
        <v>43315</v>
      </c>
      <c r="E85" s="768">
        <v>43328</v>
      </c>
      <c r="F85" s="769">
        <f t="shared" si="7"/>
        <v>0</v>
      </c>
      <c r="G85" s="750">
        <v>1</v>
      </c>
      <c r="H85" s="760">
        <f t="shared" si="8"/>
        <v>0</v>
      </c>
      <c r="I85" s="773">
        <v>0</v>
      </c>
      <c r="J85" s="768">
        <f t="shared" si="10"/>
        <v>43315</v>
      </c>
      <c r="K85" s="771" t="s">
        <v>1171</v>
      </c>
      <c r="L85" s="762"/>
    </row>
    <row r="86" spans="1:12">
      <c r="A86" s="770" t="s">
        <v>968</v>
      </c>
      <c r="B86" s="770" t="s">
        <v>1169</v>
      </c>
      <c r="C86" s="771" t="s">
        <v>1172</v>
      </c>
      <c r="D86" s="772">
        <v>43315</v>
      </c>
      <c r="E86" s="768">
        <v>43328</v>
      </c>
      <c r="F86" s="769">
        <f t="shared" si="7"/>
        <v>0</v>
      </c>
      <c r="G86" s="750">
        <v>1</v>
      </c>
      <c r="H86" s="760">
        <f t="shared" si="8"/>
        <v>0</v>
      </c>
      <c r="I86" s="773">
        <v>0</v>
      </c>
      <c r="J86" s="768">
        <f t="shared" si="10"/>
        <v>43315</v>
      </c>
      <c r="K86" s="771" t="s">
        <v>1173</v>
      </c>
      <c r="L86" s="762"/>
    </row>
    <row r="87" spans="1:12">
      <c r="A87" s="770" t="s">
        <v>968</v>
      </c>
      <c r="B87" s="770" t="s">
        <v>1150</v>
      </c>
      <c r="C87" s="771" t="s">
        <v>1167</v>
      </c>
      <c r="D87" s="772">
        <v>43315</v>
      </c>
      <c r="E87" s="768">
        <v>43328</v>
      </c>
      <c r="F87" s="769">
        <f t="shared" si="7"/>
        <v>0</v>
      </c>
      <c r="G87" s="750">
        <v>0</v>
      </c>
      <c r="H87" s="760">
        <f t="shared" si="8"/>
        <v>0</v>
      </c>
      <c r="I87" s="773">
        <v>190.893</v>
      </c>
      <c r="J87" s="768">
        <f t="shared" si="10"/>
        <v>43315</v>
      </c>
      <c r="K87" s="771" t="s">
        <v>1168</v>
      </c>
      <c r="L87" s="762"/>
    </row>
    <row r="88" spans="1:12">
      <c r="A88" s="770" t="s">
        <v>968</v>
      </c>
      <c r="B88" s="770" t="s">
        <v>1174</v>
      </c>
      <c r="C88" s="771" t="s">
        <v>1175</v>
      </c>
      <c r="D88" s="772">
        <v>43315</v>
      </c>
      <c r="E88" s="768">
        <v>43328</v>
      </c>
      <c r="F88" s="769">
        <f t="shared" si="7"/>
        <v>0</v>
      </c>
      <c r="G88" s="750">
        <v>1</v>
      </c>
      <c r="H88" s="760">
        <f t="shared" si="8"/>
        <v>0</v>
      </c>
      <c r="I88" s="773">
        <v>0</v>
      </c>
      <c r="J88" s="768">
        <f t="shared" si="10"/>
        <v>43315</v>
      </c>
      <c r="K88" s="771" t="s">
        <v>1176</v>
      </c>
    </row>
    <row r="89" spans="1:12">
      <c r="A89" s="761" t="s">
        <v>1177</v>
      </c>
      <c r="B89" s="761" t="s">
        <v>1150</v>
      </c>
      <c r="C89" s="765" t="s">
        <v>1178</v>
      </c>
      <c r="D89" s="758">
        <v>43193</v>
      </c>
      <c r="E89" s="758">
        <v>43200</v>
      </c>
      <c r="F89" s="759">
        <f t="shared" si="7"/>
        <v>64243.669000000002</v>
      </c>
      <c r="G89" s="750">
        <v>1</v>
      </c>
      <c r="H89" s="760">
        <f t="shared" si="8"/>
        <v>0</v>
      </c>
      <c r="I89" s="764">
        <v>64243.669000000002</v>
      </c>
      <c r="J89" s="758">
        <v>43315</v>
      </c>
      <c r="K89" s="765" t="s">
        <v>1179</v>
      </c>
    </row>
    <row r="90" spans="1:12">
      <c r="A90" s="761" t="s">
        <v>968</v>
      </c>
      <c r="B90" s="761" t="s">
        <v>1181</v>
      </c>
      <c r="C90" s="765" t="s">
        <v>1182</v>
      </c>
      <c r="D90" s="758">
        <v>43293</v>
      </c>
      <c r="E90" s="758">
        <v>43318</v>
      </c>
      <c r="F90" s="759">
        <f t="shared" si="7"/>
        <v>3965.799</v>
      </c>
      <c r="G90" s="750">
        <v>1</v>
      </c>
      <c r="H90" s="760">
        <f t="shared" si="8"/>
        <v>0</v>
      </c>
      <c r="I90" s="764">
        <v>3965.799</v>
      </c>
      <c r="J90" s="758">
        <v>43317</v>
      </c>
      <c r="K90" s="765" t="s">
        <v>1183</v>
      </c>
    </row>
    <row r="91" spans="1:12">
      <c r="A91" s="488" t="s">
        <v>968</v>
      </c>
      <c r="B91" s="488" t="s">
        <v>1000</v>
      </c>
      <c r="C91" s="757" t="s">
        <v>1001</v>
      </c>
      <c r="D91" s="101">
        <v>43318</v>
      </c>
      <c r="E91" s="758">
        <v>43329</v>
      </c>
      <c r="F91" s="759">
        <f t="shared" si="7"/>
        <v>8309.4599999999991</v>
      </c>
      <c r="G91" s="750">
        <v>1</v>
      </c>
      <c r="H91" s="760">
        <f t="shared" si="8"/>
        <v>0</v>
      </c>
      <c r="I91" s="46">
        <v>8309.4599999999991</v>
      </c>
      <c r="J91" s="758">
        <f t="shared" ref="J91:J101" si="11">D91</f>
        <v>43318</v>
      </c>
      <c r="K91" s="757" t="s">
        <v>1002</v>
      </c>
      <c r="L91" s="762"/>
    </row>
    <row r="92" spans="1:12">
      <c r="A92" s="488" t="s">
        <v>1003</v>
      </c>
      <c r="B92" s="488" t="s">
        <v>1004</v>
      </c>
      <c r="C92" s="757" t="s">
        <v>1005</v>
      </c>
      <c r="D92" s="101">
        <v>43319</v>
      </c>
      <c r="E92" s="758">
        <v>43329</v>
      </c>
      <c r="F92" s="759">
        <f t="shared" si="7"/>
        <v>639.202</v>
      </c>
      <c r="G92" s="750">
        <v>1</v>
      </c>
      <c r="H92" s="760">
        <f t="shared" si="8"/>
        <v>0</v>
      </c>
      <c r="I92" s="46">
        <v>639.202</v>
      </c>
      <c r="J92" s="758">
        <f t="shared" si="11"/>
        <v>43319</v>
      </c>
      <c r="K92" s="757" t="s">
        <v>1006</v>
      </c>
      <c r="L92" s="762"/>
    </row>
    <row r="93" spans="1:12">
      <c r="A93" s="488" t="s">
        <v>1003</v>
      </c>
      <c r="B93" s="488" t="s">
        <v>1007</v>
      </c>
      <c r="C93" s="757" t="s">
        <v>1008</v>
      </c>
      <c r="D93" s="101">
        <v>43319</v>
      </c>
      <c r="E93" s="758">
        <v>43329</v>
      </c>
      <c r="F93" s="759">
        <f t="shared" si="7"/>
        <v>561.04999999999995</v>
      </c>
      <c r="G93" s="750">
        <v>1</v>
      </c>
      <c r="H93" s="760">
        <f t="shared" si="8"/>
        <v>0</v>
      </c>
      <c r="I93" s="46">
        <v>561.04999999999995</v>
      </c>
      <c r="J93" s="758">
        <f t="shared" si="11"/>
        <v>43319</v>
      </c>
      <c r="K93" s="757" t="s">
        <v>1009</v>
      </c>
      <c r="L93" s="762"/>
    </row>
    <row r="94" spans="1:12">
      <c r="A94" s="488" t="s">
        <v>968</v>
      </c>
      <c r="B94" s="488" t="s">
        <v>1010</v>
      </c>
      <c r="C94" s="757" t="s">
        <v>1011</v>
      </c>
      <c r="D94" s="101">
        <v>43319</v>
      </c>
      <c r="E94" s="758">
        <v>43329</v>
      </c>
      <c r="F94" s="759">
        <f t="shared" si="7"/>
        <v>627.99199999999996</v>
      </c>
      <c r="G94" s="750">
        <v>1</v>
      </c>
      <c r="H94" s="760">
        <f t="shared" si="8"/>
        <v>0</v>
      </c>
      <c r="I94" s="46">
        <v>627.99199999999996</v>
      </c>
      <c r="J94" s="758">
        <f t="shared" si="11"/>
        <v>43319</v>
      </c>
      <c r="K94" s="757" t="s">
        <v>1012</v>
      </c>
      <c r="L94" s="762"/>
    </row>
    <row r="95" spans="1:12">
      <c r="A95" s="488" t="s">
        <v>968</v>
      </c>
      <c r="B95" s="488" t="s">
        <v>1019</v>
      </c>
      <c r="C95" s="757" t="s">
        <v>1020</v>
      </c>
      <c r="D95" s="101">
        <v>43319</v>
      </c>
      <c r="E95" s="758">
        <v>43329</v>
      </c>
      <c r="F95" s="759">
        <f t="shared" si="7"/>
        <v>978.59</v>
      </c>
      <c r="G95" s="750">
        <v>1</v>
      </c>
      <c r="H95" s="760">
        <f t="shared" si="8"/>
        <v>0</v>
      </c>
      <c r="I95" s="46">
        <v>978.59</v>
      </c>
      <c r="J95" s="758">
        <f t="shared" si="11"/>
        <v>43319</v>
      </c>
      <c r="K95" s="757" t="s">
        <v>1021</v>
      </c>
      <c r="L95" s="762"/>
    </row>
    <row r="96" spans="1:12">
      <c r="A96" s="488" t="s">
        <v>968</v>
      </c>
      <c r="B96" s="488" t="s">
        <v>1022</v>
      </c>
      <c r="C96" s="757" t="s">
        <v>1023</v>
      </c>
      <c r="D96" s="101">
        <v>43320</v>
      </c>
      <c r="E96" s="758">
        <v>43329</v>
      </c>
      <c r="F96" s="759">
        <f t="shared" si="7"/>
        <v>190.619</v>
      </c>
      <c r="G96" s="750">
        <v>1</v>
      </c>
      <c r="H96" s="760">
        <f t="shared" si="8"/>
        <v>0</v>
      </c>
      <c r="I96" s="46">
        <v>190.619</v>
      </c>
      <c r="J96" s="758">
        <f t="shared" si="11"/>
        <v>43320</v>
      </c>
      <c r="K96" s="757" t="s">
        <v>1024</v>
      </c>
      <c r="L96" s="762"/>
    </row>
    <row r="97" spans="1:12">
      <c r="A97" s="488" t="s">
        <v>968</v>
      </c>
      <c r="B97" s="488" t="s">
        <v>1184</v>
      </c>
      <c r="C97" s="757" t="s">
        <v>1185</v>
      </c>
      <c r="D97" s="101">
        <v>43320</v>
      </c>
      <c r="E97" s="758">
        <v>43322</v>
      </c>
      <c r="F97" s="759">
        <f t="shared" si="7"/>
        <v>46.744</v>
      </c>
      <c r="G97" s="750">
        <v>1</v>
      </c>
      <c r="H97" s="760">
        <f t="shared" si="8"/>
        <v>0</v>
      </c>
      <c r="I97" s="46">
        <v>46.744</v>
      </c>
      <c r="J97" s="758">
        <f t="shared" si="11"/>
        <v>43320</v>
      </c>
      <c r="K97" s="757" t="s">
        <v>1186</v>
      </c>
      <c r="L97" s="762"/>
    </row>
    <row r="98" spans="1:12">
      <c r="A98" s="488" t="s">
        <v>968</v>
      </c>
      <c r="B98" s="488" t="s">
        <v>1184</v>
      </c>
      <c r="C98" s="757" t="s">
        <v>1187</v>
      </c>
      <c r="D98" s="101">
        <v>43320</v>
      </c>
      <c r="E98" s="758">
        <v>43322</v>
      </c>
      <c r="F98" s="759">
        <f t="shared" ref="F98:F129" si="12">SUM(I98*G98)</f>
        <v>190.65799999999999</v>
      </c>
      <c r="G98" s="750">
        <v>1</v>
      </c>
      <c r="H98" s="760">
        <f t="shared" ref="H98:H129" si="13">IF(E98="",1,0)</f>
        <v>0</v>
      </c>
      <c r="I98" s="46">
        <v>190.65799999999999</v>
      </c>
      <c r="J98" s="758">
        <f t="shared" si="11"/>
        <v>43320</v>
      </c>
      <c r="K98" s="757" t="s">
        <v>1188</v>
      </c>
    </row>
    <row r="99" spans="1:12">
      <c r="A99" s="488" t="s">
        <v>968</v>
      </c>
      <c r="B99" s="488" t="s">
        <v>1184</v>
      </c>
      <c r="C99" s="757" t="s">
        <v>1189</v>
      </c>
      <c r="D99" s="101">
        <v>43320</v>
      </c>
      <c r="E99" s="758">
        <v>43322</v>
      </c>
      <c r="F99" s="759">
        <f t="shared" si="12"/>
        <v>48.457999999999998</v>
      </c>
      <c r="G99" s="750">
        <v>1</v>
      </c>
      <c r="H99" s="760">
        <f t="shared" si="13"/>
        <v>0</v>
      </c>
      <c r="I99" s="46">
        <v>48.457999999999998</v>
      </c>
      <c r="J99" s="758">
        <f t="shared" si="11"/>
        <v>43320</v>
      </c>
      <c r="K99" s="757" t="s">
        <v>1190</v>
      </c>
    </row>
    <row r="100" spans="1:12">
      <c r="A100" s="488" t="s">
        <v>968</v>
      </c>
      <c r="B100" s="488" t="s">
        <v>1191</v>
      </c>
      <c r="C100" s="757" t="s">
        <v>1192</v>
      </c>
      <c r="D100" s="101">
        <v>43320</v>
      </c>
      <c r="E100" s="758">
        <v>43322</v>
      </c>
      <c r="F100" s="759">
        <f t="shared" si="12"/>
        <v>500</v>
      </c>
      <c r="G100" s="750">
        <v>1</v>
      </c>
      <c r="H100" s="760">
        <f t="shared" si="13"/>
        <v>0</v>
      </c>
      <c r="I100" s="46">
        <v>500</v>
      </c>
      <c r="J100" s="758">
        <f t="shared" si="11"/>
        <v>43320</v>
      </c>
      <c r="K100" s="757" t="s">
        <v>1193</v>
      </c>
    </row>
    <row r="101" spans="1:12">
      <c r="A101" s="488" t="s">
        <v>968</v>
      </c>
      <c r="B101" s="488" t="s">
        <v>1121</v>
      </c>
      <c r="C101" s="757" t="s">
        <v>1122</v>
      </c>
      <c r="D101" s="101">
        <v>43321</v>
      </c>
      <c r="E101" s="758">
        <v>43328</v>
      </c>
      <c r="F101" s="759">
        <f t="shared" si="12"/>
        <v>789.71299999999997</v>
      </c>
      <c r="G101" s="750">
        <v>1</v>
      </c>
      <c r="H101" s="760">
        <f t="shared" si="13"/>
        <v>0</v>
      </c>
      <c r="I101" s="46">
        <v>789.71299999999997</v>
      </c>
      <c r="J101" s="758">
        <f t="shared" si="11"/>
        <v>43321</v>
      </c>
      <c r="K101" s="757" t="s">
        <v>1123</v>
      </c>
    </row>
    <row r="102" spans="1:12">
      <c r="A102" s="762" t="s">
        <v>968</v>
      </c>
      <c r="B102" s="762" t="s">
        <v>2434</v>
      </c>
      <c r="C102" s="757" t="s">
        <v>1025</v>
      </c>
      <c r="D102" s="758">
        <v>43325</v>
      </c>
      <c r="E102" s="758">
        <v>43328</v>
      </c>
      <c r="F102" s="759">
        <f t="shared" si="12"/>
        <v>1344</v>
      </c>
      <c r="G102" s="750">
        <v>1</v>
      </c>
      <c r="H102" s="760">
        <f t="shared" si="13"/>
        <v>0</v>
      </c>
      <c r="I102" s="763">
        <v>1344</v>
      </c>
      <c r="J102" s="758">
        <f>+D102</f>
        <v>43325</v>
      </c>
      <c r="K102" s="757" t="s">
        <v>1026</v>
      </c>
    </row>
    <row r="103" spans="1:12">
      <c r="A103" s="488" t="s">
        <v>968</v>
      </c>
      <c r="B103" s="488" t="s">
        <v>1364</v>
      </c>
      <c r="C103" s="757" t="s">
        <v>2379</v>
      </c>
      <c r="D103" s="101">
        <v>43328</v>
      </c>
      <c r="E103" s="758">
        <v>43328</v>
      </c>
      <c r="F103" s="759">
        <f t="shared" si="12"/>
        <v>1018.0940000000001</v>
      </c>
      <c r="G103" s="750">
        <v>1</v>
      </c>
      <c r="H103" s="760">
        <f t="shared" si="13"/>
        <v>0</v>
      </c>
      <c r="I103" s="46">
        <v>1018.0940000000001</v>
      </c>
      <c r="J103" s="758">
        <f>+D103</f>
        <v>43328</v>
      </c>
      <c r="K103" s="757" t="s">
        <v>2405</v>
      </c>
    </row>
    <row r="104" spans="1:12">
      <c r="A104" s="488" t="s">
        <v>968</v>
      </c>
      <c r="B104" s="488" t="s">
        <v>2427</v>
      </c>
      <c r="C104" s="757" t="s">
        <v>2378</v>
      </c>
      <c r="D104" s="101">
        <v>43328</v>
      </c>
      <c r="E104" s="758">
        <v>43328</v>
      </c>
      <c r="F104" s="759">
        <f t="shared" si="12"/>
        <v>420.43200000000002</v>
      </c>
      <c r="G104" s="750">
        <v>1</v>
      </c>
      <c r="H104" s="760">
        <f t="shared" si="13"/>
        <v>0</v>
      </c>
      <c r="I104" s="46">
        <v>420.43200000000002</v>
      </c>
      <c r="J104" s="758">
        <f>+D104</f>
        <v>43328</v>
      </c>
      <c r="K104" s="757" t="s">
        <v>2404</v>
      </c>
    </row>
    <row r="105" spans="1:12">
      <c r="A105" s="488" t="s">
        <v>968</v>
      </c>
      <c r="B105" s="488" t="s">
        <v>1184</v>
      </c>
      <c r="C105" s="757" t="s">
        <v>2377</v>
      </c>
      <c r="D105" s="101">
        <v>43328</v>
      </c>
      <c r="E105" s="758">
        <v>43328</v>
      </c>
      <c r="F105" s="759">
        <f t="shared" si="12"/>
        <v>783.94799999999998</v>
      </c>
      <c r="G105" s="750">
        <v>1</v>
      </c>
      <c r="H105" s="760">
        <f t="shared" si="13"/>
        <v>0</v>
      </c>
      <c r="I105" s="46">
        <v>783.94799999999998</v>
      </c>
      <c r="J105" s="758">
        <f>+D105</f>
        <v>43328</v>
      </c>
      <c r="K105" s="757" t="s">
        <v>2403</v>
      </c>
    </row>
    <row r="106" spans="1:12">
      <c r="A106" s="761" t="s">
        <v>1027</v>
      </c>
      <c r="B106" s="761" t="s">
        <v>1127</v>
      </c>
      <c r="C106" s="765" t="s">
        <v>1195</v>
      </c>
      <c r="D106" s="758">
        <v>43216</v>
      </c>
      <c r="E106" s="758">
        <v>43228</v>
      </c>
      <c r="F106" s="759">
        <f t="shared" si="12"/>
        <v>1925.566</v>
      </c>
      <c r="G106" s="750">
        <v>1</v>
      </c>
      <c r="H106" s="760">
        <f t="shared" si="13"/>
        <v>0</v>
      </c>
      <c r="I106" s="764">
        <v>1925.566</v>
      </c>
      <c r="J106" s="758">
        <v>43328</v>
      </c>
      <c r="K106" s="765" t="s">
        <v>1196</v>
      </c>
    </row>
    <row r="107" spans="1:12">
      <c r="A107" s="488" t="s">
        <v>968</v>
      </c>
      <c r="B107" s="488" t="s">
        <v>1180</v>
      </c>
      <c r="C107" s="757" t="s">
        <v>2375</v>
      </c>
      <c r="D107" s="101">
        <v>43329</v>
      </c>
      <c r="E107" s="758">
        <v>43329</v>
      </c>
      <c r="F107" s="786">
        <f t="shared" si="12"/>
        <v>98500</v>
      </c>
      <c r="G107" s="750">
        <v>1</v>
      </c>
      <c r="H107" s="760">
        <f t="shared" si="13"/>
        <v>0</v>
      </c>
      <c r="I107" s="46">
        <v>98500</v>
      </c>
      <c r="J107" s="758">
        <f>+D107</f>
        <v>43329</v>
      </c>
      <c r="K107" s="757" t="s">
        <v>2401</v>
      </c>
    </row>
    <row r="108" spans="1:12">
      <c r="A108" s="488" t="s">
        <v>968</v>
      </c>
      <c r="B108" s="488" t="s">
        <v>1180</v>
      </c>
      <c r="C108" s="757" t="s">
        <v>2374</v>
      </c>
      <c r="D108" s="101">
        <v>43329</v>
      </c>
      <c r="E108" s="758">
        <v>43329</v>
      </c>
      <c r="F108" s="786">
        <f t="shared" si="12"/>
        <v>98500</v>
      </c>
      <c r="G108" s="750">
        <v>1</v>
      </c>
      <c r="H108" s="760">
        <f t="shared" si="13"/>
        <v>0</v>
      </c>
      <c r="I108" s="46">
        <v>98500</v>
      </c>
      <c r="J108" s="758">
        <f>+D108</f>
        <v>43329</v>
      </c>
      <c r="K108" s="757" t="s">
        <v>2400</v>
      </c>
    </row>
    <row r="109" spans="1:12">
      <c r="A109" s="761" t="s">
        <v>1027</v>
      </c>
      <c r="B109" s="761" t="s">
        <v>1200</v>
      </c>
      <c r="C109" s="765" t="s">
        <v>1201</v>
      </c>
      <c r="D109" s="758">
        <v>43157</v>
      </c>
      <c r="E109" s="758">
        <v>43157</v>
      </c>
      <c r="F109" s="759">
        <f t="shared" si="12"/>
        <v>24625</v>
      </c>
      <c r="G109" s="794">
        <v>1</v>
      </c>
      <c r="H109" s="760">
        <f t="shared" si="13"/>
        <v>0</v>
      </c>
      <c r="I109" s="764">
        <v>24625</v>
      </c>
      <c r="J109" s="758">
        <v>43332</v>
      </c>
      <c r="K109" s="765" t="s">
        <v>1202</v>
      </c>
    </row>
    <row r="110" spans="1:12">
      <c r="A110" s="761" t="s">
        <v>1027</v>
      </c>
      <c r="B110" s="761" t="s">
        <v>1036</v>
      </c>
      <c r="C110" s="765" t="s">
        <v>1203</v>
      </c>
      <c r="D110" s="758">
        <v>43255</v>
      </c>
      <c r="E110" s="758">
        <v>43263</v>
      </c>
      <c r="F110" s="759">
        <f t="shared" si="12"/>
        <v>1227.674</v>
      </c>
      <c r="G110" s="794">
        <v>1</v>
      </c>
      <c r="H110" s="760">
        <f t="shared" si="13"/>
        <v>0</v>
      </c>
      <c r="I110" s="764">
        <v>1227.674</v>
      </c>
      <c r="J110" s="758">
        <v>43332</v>
      </c>
      <c r="K110" s="765" t="s">
        <v>1204</v>
      </c>
    </row>
    <row r="111" spans="1:12">
      <c r="A111" s="761" t="s">
        <v>1027</v>
      </c>
      <c r="B111" s="761" t="s">
        <v>1028</v>
      </c>
      <c r="C111" s="765" t="s">
        <v>1205</v>
      </c>
      <c r="D111" s="758">
        <v>43286</v>
      </c>
      <c r="E111" s="758">
        <v>43308</v>
      </c>
      <c r="F111" s="759">
        <f t="shared" si="12"/>
        <v>807.01400000000001</v>
      </c>
      <c r="G111" s="794">
        <v>1</v>
      </c>
      <c r="H111" s="760">
        <f t="shared" si="13"/>
        <v>0</v>
      </c>
      <c r="I111" s="764">
        <v>807.01400000000001</v>
      </c>
      <c r="J111" s="758">
        <v>43332</v>
      </c>
      <c r="K111" s="765" t="s">
        <v>1206</v>
      </c>
    </row>
    <row r="112" spans="1:12">
      <c r="A112" s="488" t="s">
        <v>1027</v>
      </c>
      <c r="B112" s="488" t="s">
        <v>1197</v>
      </c>
      <c r="C112" s="757" t="s">
        <v>1198</v>
      </c>
      <c r="D112" s="101">
        <v>43315</v>
      </c>
      <c r="E112" s="758">
        <v>43318</v>
      </c>
      <c r="F112" s="786">
        <f t="shared" si="12"/>
        <v>72626.3</v>
      </c>
      <c r="G112" s="794">
        <v>1</v>
      </c>
      <c r="H112" s="760">
        <f t="shared" si="13"/>
        <v>0</v>
      </c>
      <c r="I112" s="46">
        <v>72626.3</v>
      </c>
      <c r="J112" s="758">
        <v>43332</v>
      </c>
      <c r="K112" s="757" t="s">
        <v>1199</v>
      </c>
      <c r="L112" s="762"/>
    </row>
    <row r="113" spans="1:12">
      <c r="A113" s="761" t="s">
        <v>1027</v>
      </c>
      <c r="B113" s="761" t="s">
        <v>1194</v>
      </c>
      <c r="C113" s="765" t="s">
        <v>1207</v>
      </c>
      <c r="D113" s="758">
        <v>43284</v>
      </c>
      <c r="E113" s="758">
        <v>43320</v>
      </c>
      <c r="F113" s="759">
        <f t="shared" si="12"/>
        <v>7180.01</v>
      </c>
      <c r="G113" s="794">
        <v>1</v>
      </c>
      <c r="H113" s="760">
        <f t="shared" si="13"/>
        <v>0</v>
      </c>
      <c r="I113" s="764">
        <v>7180.01</v>
      </c>
      <c r="J113" s="758">
        <v>43337</v>
      </c>
      <c r="K113" s="765" t="s">
        <v>1208</v>
      </c>
      <c r="L113" s="762"/>
    </row>
    <row r="114" spans="1:12">
      <c r="A114" s="761" t="s">
        <v>1027</v>
      </c>
      <c r="B114" s="761" t="s">
        <v>1209</v>
      </c>
      <c r="C114" s="765" t="s">
        <v>1210</v>
      </c>
      <c r="D114" s="758">
        <v>43293</v>
      </c>
      <c r="E114" s="758">
        <v>43320</v>
      </c>
      <c r="F114" s="759">
        <f t="shared" si="12"/>
        <v>236.756</v>
      </c>
      <c r="G114" s="794">
        <v>1</v>
      </c>
      <c r="H114" s="760">
        <f t="shared" si="13"/>
        <v>0</v>
      </c>
      <c r="I114" s="764">
        <v>236.756</v>
      </c>
      <c r="J114" s="758">
        <v>43337</v>
      </c>
      <c r="K114" s="765" t="s">
        <v>1211</v>
      </c>
    </row>
    <row r="115" spans="1:12">
      <c r="A115" s="761" t="s">
        <v>1027</v>
      </c>
      <c r="B115" s="761" t="s">
        <v>1028</v>
      </c>
      <c r="C115" s="765" t="s">
        <v>1212</v>
      </c>
      <c r="D115" s="758">
        <v>43301</v>
      </c>
      <c r="E115" s="758">
        <v>43308</v>
      </c>
      <c r="F115" s="759">
        <f t="shared" si="12"/>
        <v>3474.8829999999998</v>
      </c>
      <c r="G115" s="794">
        <v>1</v>
      </c>
      <c r="H115" s="760">
        <f t="shared" si="13"/>
        <v>0</v>
      </c>
      <c r="I115" s="764">
        <v>3474.8829999999998</v>
      </c>
      <c r="J115" s="758">
        <v>43337</v>
      </c>
      <c r="K115" s="765" t="s">
        <v>1213</v>
      </c>
    </row>
    <row r="116" spans="1:12">
      <c r="A116" s="488" t="s">
        <v>1027</v>
      </c>
      <c r="B116" s="488" t="s">
        <v>228</v>
      </c>
      <c r="C116" s="757" t="s">
        <v>1214</v>
      </c>
      <c r="D116" s="101">
        <v>43313</v>
      </c>
      <c r="E116" s="758">
        <v>43313</v>
      </c>
      <c r="F116" s="786">
        <f t="shared" si="12"/>
        <v>71279.422999999995</v>
      </c>
      <c r="G116" s="794">
        <v>1</v>
      </c>
      <c r="H116" s="760">
        <f t="shared" si="13"/>
        <v>0</v>
      </c>
      <c r="I116" s="46">
        <v>71279.422999999995</v>
      </c>
      <c r="J116" s="758">
        <v>43337</v>
      </c>
      <c r="K116" s="757" t="s">
        <v>1215</v>
      </c>
      <c r="L116" s="762"/>
    </row>
    <row r="117" spans="1:12">
      <c r="A117" s="761" t="s">
        <v>1027</v>
      </c>
      <c r="B117" s="761" t="s">
        <v>1194</v>
      </c>
      <c r="C117" s="765" t="s">
        <v>1216</v>
      </c>
      <c r="D117" s="758">
        <v>43276</v>
      </c>
      <c r="E117" s="758">
        <v>43320</v>
      </c>
      <c r="F117" s="759">
        <f t="shared" si="12"/>
        <v>2377.1260000000002</v>
      </c>
      <c r="G117" s="794">
        <v>1</v>
      </c>
      <c r="H117" s="760">
        <f t="shared" si="13"/>
        <v>0</v>
      </c>
      <c r="I117" s="764">
        <v>2377.1260000000002</v>
      </c>
      <c r="J117" s="758">
        <v>43342</v>
      </c>
      <c r="K117" s="765" t="s">
        <v>1217</v>
      </c>
    </row>
    <row r="118" spans="1:12">
      <c r="A118" s="488" t="s">
        <v>1027</v>
      </c>
      <c r="B118" s="488" t="s">
        <v>1197</v>
      </c>
      <c r="C118" s="757" t="s">
        <v>1218</v>
      </c>
      <c r="D118" s="101">
        <v>43315</v>
      </c>
      <c r="E118" s="758">
        <v>43318</v>
      </c>
      <c r="F118" s="759">
        <f t="shared" si="12"/>
        <v>84319.24</v>
      </c>
      <c r="G118" s="794">
        <v>1</v>
      </c>
      <c r="H118" s="760">
        <f t="shared" si="13"/>
        <v>0</v>
      </c>
      <c r="I118" s="46">
        <v>84319.24</v>
      </c>
      <c r="J118" s="758">
        <v>43348</v>
      </c>
      <c r="K118" s="757" t="s">
        <v>1219</v>
      </c>
    </row>
    <row r="119" spans="1:12">
      <c r="A119" s="488" t="s">
        <v>1027</v>
      </c>
      <c r="B119" s="488" t="s">
        <v>1220</v>
      </c>
      <c r="C119" s="757" t="s">
        <v>1221</v>
      </c>
      <c r="D119" s="101">
        <v>43320</v>
      </c>
      <c r="E119" s="758">
        <v>43322</v>
      </c>
      <c r="F119" s="759">
        <f t="shared" si="12"/>
        <v>11820</v>
      </c>
      <c r="G119" s="794">
        <v>1</v>
      </c>
      <c r="H119" s="760">
        <f t="shared" si="13"/>
        <v>0</v>
      </c>
      <c r="I119" s="46">
        <v>11820</v>
      </c>
      <c r="J119" s="758">
        <v>43348</v>
      </c>
      <c r="K119" s="757" t="s">
        <v>1222</v>
      </c>
      <c r="L119" s="762"/>
    </row>
    <row r="120" spans="1:12">
      <c r="A120" s="761" t="s">
        <v>1027</v>
      </c>
      <c r="B120" s="761" t="s">
        <v>1223</v>
      </c>
      <c r="C120" s="765" t="s">
        <v>1224</v>
      </c>
      <c r="D120" s="758">
        <v>43286</v>
      </c>
      <c r="E120" s="758">
        <v>43315</v>
      </c>
      <c r="F120" s="759">
        <f t="shared" si="12"/>
        <v>2008.7190000000001</v>
      </c>
      <c r="G120" s="794">
        <v>1</v>
      </c>
      <c r="H120" s="760">
        <f t="shared" si="13"/>
        <v>0</v>
      </c>
      <c r="I120" s="764">
        <v>2008.7190000000001</v>
      </c>
      <c r="J120" s="758">
        <v>43353</v>
      </c>
      <c r="K120" s="765" t="s">
        <v>1225</v>
      </c>
    </row>
    <row r="121" spans="1:12">
      <c r="A121" s="761" t="s">
        <v>1027</v>
      </c>
      <c r="B121" s="761" t="s">
        <v>1223</v>
      </c>
      <c r="C121" s="765" t="s">
        <v>1226</v>
      </c>
      <c r="D121" s="758">
        <v>43301</v>
      </c>
      <c r="E121" s="758">
        <v>43315</v>
      </c>
      <c r="F121" s="759">
        <f t="shared" si="12"/>
        <v>4468.8509999999997</v>
      </c>
      <c r="G121" s="794">
        <v>1</v>
      </c>
      <c r="H121" s="760">
        <f t="shared" si="13"/>
        <v>0</v>
      </c>
      <c r="I121" s="764">
        <v>4468.8509999999997</v>
      </c>
      <c r="J121" s="758">
        <v>43353</v>
      </c>
      <c r="K121" s="765" t="s">
        <v>1227</v>
      </c>
    </row>
    <row r="122" spans="1:12">
      <c r="A122" s="761" t="s">
        <v>1027</v>
      </c>
      <c r="B122" s="761" t="s">
        <v>1220</v>
      </c>
      <c r="C122" s="765" t="s">
        <v>1228</v>
      </c>
      <c r="D122" s="758">
        <v>43270</v>
      </c>
      <c r="E122" s="758">
        <v>43276</v>
      </c>
      <c r="F122" s="759">
        <f t="shared" si="12"/>
        <v>40824.900999999998</v>
      </c>
      <c r="G122" s="794">
        <v>1</v>
      </c>
      <c r="H122" s="760">
        <f t="shared" si="13"/>
        <v>0</v>
      </c>
      <c r="I122" s="764">
        <v>40824.900999999998</v>
      </c>
      <c r="J122" s="758">
        <v>43358</v>
      </c>
      <c r="K122" s="765" t="s">
        <v>1229</v>
      </c>
      <c r="L122" s="762"/>
    </row>
    <row r="123" spans="1:12">
      <c r="A123" s="761" t="s">
        <v>1027</v>
      </c>
      <c r="B123" s="761" t="s">
        <v>1200</v>
      </c>
      <c r="C123" s="765" t="s">
        <v>1230</v>
      </c>
      <c r="D123" s="758">
        <v>43157</v>
      </c>
      <c r="E123" s="758">
        <v>43157</v>
      </c>
      <c r="F123" s="759">
        <f t="shared" si="12"/>
        <v>24625</v>
      </c>
      <c r="G123" s="794">
        <v>1</v>
      </c>
      <c r="H123" s="760">
        <f t="shared" si="13"/>
        <v>0</v>
      </c>
      <c r="I123" s="764">
        <v>24625</v>
      </c>
      <c r="J123" s="758">
        <v>43363</v>
      </c>
      <c r="K123" s="765" t="s">
        <v>1231</v>
      </c>
      <c r="L123" s="762"/>
    </row>
    <row r="124" spans="1:12">
      <c r="A124" s="761" t="s">
        <v>1027</v>
      </c>
      <c r="B124" s="761" t="s">
        <v>1232</v>
      </c>
      <c r="C124" s="765" t="s">
        <v>1233</v>
      </c>
      <c r="D124" s="758">
        <v>43284</v>
      </c>
      <c r="E124" s="758">
        <v>43308</v>
      </c>
      <c r="F124" s="759">
        <f t="shared" si="12"/>
        <v>1844.002</v>
      </c>
      <c r="G124" s="794">
        <v>1</v>
      </c>
      <c r="H124" s="760">
        <f t="shared" si="13"/>
        <v>0</v>
      </c>
      <c r="I124" s="764">
        <v>1844.002</v>
      </c>
      <c r="J124" s="758">
        <v>43363</v>
      </c>
      <c r="K124" s="765" t="s">
        <v>1234</v>
      </c>
    </row>
    <row r="125" spans="1:12">
      <c r="A125" s="761" t="s">
        <v>1027</v>
      </c>
      <c r="B125" s="761" t="s">
        <v>1232</v>
      </c>
      <c r="C125" s="765" t="s">
        <v>1235</v>
      </c>
      <c r="D125" s="758">
        <v>43286</v>
      </c>
      <c r="E125" s="758">
        <v>43308</v>
      </c>
      <c r="F125" s="759">
        <f t="shared" si="12"/>
        <v>594.88499999999999</v>
      </c>
      <c r="G125" s="794">
        <v>1</v>
      </c>
      <c r="H125" s="760">
        <f t="shared" si="13"/>
        <v>0</v>
      </c>
      <c r="I125" s="764">
        <v>594.88499999999999</v>
      </c>
      <c r="J125" s="758">
        <v>43363</v>
      </c>
      <c r="K125" s="765" t="s">
        <v>1236</v>
      </c>
    </row>
    <row r="126" spans="1:12">
      <c r="A126" s="761" t="s">
        <v>1027</v>
      </c>
      <c r="B126" s="761" t="s">
        <v>1134</v>
      </c>
      <c r="C126" s="765" t="s">
        <v>1237</v>
      </c>
      <c r="D126" s="758">
        <v>43312</v>
      </c>
      <c r="E126" s="758">
        <v>43315</v>
      </c>
      <c r="F126" s="759">
        <f t="shared" si="12"/>
        <v>1477.5</v>
      </c>
      <c r="G126" s="794">
        <v>1</v>
      </c>
      <c r="H126" s="760">
        <f t="shared" si="13"/>
        <v>0</v>
      </c>
      <c r="I126" s="764">
        <v>1477.5</v>
      </c>
      <c r="J126" s="758">
        <v>43363</v>
      </c>
      <c r="K126" s="765" t="s">
        <v>1238</v>
      </c>
    </row>
    <row r="127" spans="1:12">
      <c r="A127" s="488" t="s">
        <v>1027</v>
      </c>
      <c r="B127" s="488" t="s">
        <v>228</v>
      </c>
      <c r="C127" s="757" t="s">
        <v>1239</v>
      </c>
      <c r="D127" s="101">
        <v>43313</v>
      </c>
      <c r="E127" s="758">
        <v>43313</v>
      </c>
      <c r="F127" s="759">
        <f t="shared" si="12"/>
        <v>71279.422999999995</v>
      </c>
      <c r="G127" s="794">
        <v>1</v>
      </c>
      <c r="H127" s="760">
        <f t="shared" si="13"/>
        <v>0</v>
      </c>
      <c r="I127" s="46">
        <v>71279.422999999995</v>
      </c>
      <c r="J127" s="758">
        <v>43363</v>
      </c>
      <c r="K127" s="757" t="s">
        <v>1240</v>
      </c>
    </row>
    <row r="128" spans="1:12">
      <c r="A128" s="761" t="s">
        <v>1027</v>
      </c>
      <c r="B128" s="761" t="s">
        <v>1036</v>
      </c>
      <c r="C128" s="765" t="s">
        <v>1245</v>
      </c>
      <c r="D128" s="758">
        <v>43287</v>
      </c>
      <c r="E128" s="758">
        <v>43282</v>
      </c>
      <c r="F128" s="759">
        <f t="shared" si="12"/>
        <v>4664.8549999999996</v>
      </c>
      <c r="G128" s="794">
        <v>1</v>
      </c>
      <c r="H128" s="760">
        <f t="shared" si="13"/>
        <v>0</v>
      </c>
      <c r="I128" s="764">
        <v>4664.8549999999996</v>
      </c>
      <c r="J128" s="758">
        <v>43368</v>
      </c>
      <c r="K128" s="765" t="s">
        <v>1246</v>
      </c>
      <c r="L128" s="762"/>
    </row>
    <row r="129" spans="1:12">
      <c r="A129" s="761" t="s">
        <v>1027</v>
      </c>
      <c r="B129" s="761" t="s">
        <v>1194</v>
      </c>
      <c r="C129" s="765" t="s">
        <v>1241</v>
      </c>
      <c r="D129" s="758">
        <v>43287</v>
      </c>
      <c r="E129" s="758">
        <v>43320</v>
      </c>
      <c r="F129" s="759">
        <f t="shared" si="12"/>
        <v>235.625</v>
      </c>
      <c r="G129" s="794">
        <v>1</v>
      </c>
      <c r="H129" s="760">
        <f t="shared" si="13"/>
        <v>0</v>
      </c>
      <c r="I129" s="764">
        <v>235.625</v>
      </c>
      <c r="J129" s="758">
        <v>43368</v>
      </c>
      <c r="K129" s="765" t="s">
        <v>1242</v>
      </c>
    </row>
    <row r="130" spans="1:12">
      <c r="A130" s="761" t="s">
        <v>1027</v>
      </c>
      <c r="B130" s="761" t="s">
        <v>1247</v>
      </c>
      <c r="C130" s="765" t="s">
        <v>1248</v>
      </c>
      <c r="D130" s="758">
        <v>43287</v>
      </c>
      <c r="E130" s="758">
        <v>43315</v>
      </c>
      <c r="F130" s="759">
        <f t="shared" ref="F130:F142" si="14">SUM(I130*G130)</f>
        <v>1054.5260000000001</v>
      </c>
      <c r="G130" s="794">
        <v>1</v>
      </c>
      <c r="H130" s="760">
        <f t="shared" ref="H130:H142" si="15">IF(E130="",1,0)</f>
        <v>0</v>
      </c>
      <c r="I130" s="764">
        <v>1054.5260000000001</v>
      </c>
      <c r="J130" s="758">
        <v>43368</v>
      </c>
      <c r="K130" s="765" t="s">
        <v>1249</v>
      </c>
    </row>
    <row r="131" spans="1:12">
      <c r="A131" s="761" t="s">
        <v>1027</v>
      </c>
      <c r="B131" s="761" t="s">
        <v>1223</v>
      </c>
      <c r="C131" s="765" t="s">
        <v>1250</v>
      </c>
      <c r="D131" s="758">
        <v>43305</v>
      </c>
      <c r="E131" s="758">
        <v>43315</v>
      </c>
      <c r="F131" s="759">
        <f t="shared" si="14"/>
        <v>5040.5079999999998</v>
      </c>
      <c r="G131" s="794">
        <v>1</v>
      </c>
      <c r="H131" s="760">
        <f t="shared" si="15"/>
        <v>0</v>
      </c>
      <c r="I131" s="764">
        <v>5040.5079999999998</v>
      </c>
      <c r="J131" s="758">
        <v>43368</v>
      </c>
      <c r="K131" s="765" t="s">
        <v>1251</v>
      </c>
    </row>
    <row r="132" spans="1:12">
      <c r="A132" s="488" t="s">
        <v>1027</v>
      </c>
      <c r="B132" s="488" t="s">
        <v>1197</v>
      </c>
      <c r="C132" s="757" t="s">
        <v>1243</v>
      </c>
      <c r="D132" s="101">
        <v>43315</v>
      </c>
      <c r="E132" s="758">
        <v>43318</v>
      </c>
      <c r="F132" s="759">
        <f t="shared" si="14"/>
        <v>78816.679999999993</v>
      </c>
      <c r="G132" s="794">
        <v>1</v>
      </c>
      <c r="H132" s="760">
        <f t="shared" si="15"/>
        <v>0</v>
      </c>
      <c r="I132" s="46">
        <v>78816.679999999993</v>
      </c>
      <c r="J132" s="758">
        <v>43368</v>
      </c>
      <c r="K132" s="757" t="s">
        <v>1244</v>
      </c>
    </row>
    <row r="133" spans="1:12">
      <c r="A133" s="761" t="s">
        <v>1027</v>
      </c>
      <c r="B133" s="761" t="s">
        <v>1028</v>
      </c>
      <c r="C133" s="765" t="s">
        <v>1252</v>
      </c>
      <c r="D133" s="758">
        <v>43301</v>
      </c>
      <c r="E133" s="758">
        <v>43308</v>
      </c>
      <c r="F133" s="759">
        <f t="shared" si="14"/>
        <v>923.09500000000003</v>
      </c>
      <c r="G133" s="794">
        <v>1</v>
      </c>
      <c r="H133" s="760">
        <f t="shared" si="15"/>
        <v>0</v>
      </c>
      <c r="I133" s="764">
        <v>923.09500000000003</v>
      </c>
      <c r="J133" s="758">
        <v>43373</v>
      </c>
      <c r="K133" s="765" t="s">
        <v>1253</v>
      </c>
      <c r="L133" s="762"/>
    </row>
    <row r="134" spans="1:12">
      <c r="A134" s="761" t="s">
        <v>1027</v>
      </c>
      <c r="B134" s="761" t="s">
        <v>1194</v>
      </c>
      <c r="C134" s="765" t="s">
        <v>1254</v>
      </c>
      <c r="D134" s="758">
        <v>43293</v>
      </c>
      <c r="E134" s="758">
        <v>43320</v>
      </c>
      <c r="F134" s="759">
        <f t="shared" si="14"/>
        <v>2345.4780000000001</v>
      </c>
      <c r="G134" s="794">
        <v>1</v>
      </c>
      <c r="H134" s="760">
        <f t="shared" si="15"/>
        <v>0</v>
      </c>
      <c r="I134" s="764">
        <v>2345.4780000000001</v>
      </c>
      <c r="J134" s="758">
        <v>43378</v>
      </c>
      <c r="K134" s="765" t="s">
        <v>1255</v>
      </c>
    </row>
    <row r="135" spans="1:12">
      <c r="A135" s="488" t="s">
        <v>1027</v>
      </c>
      <c r="B135" s="488" t="s">
        <v>1220</v>
      </c>
      <c r="C135" s="757" t="s">
        <v>1256</v>
      </c>
      <c r="D135" s="101">
        <v>43320</v>
      </c>
      <c r="E135" s="758">
        <v>43322</v>
      </c>
      <c r="F135" s="759">
        <f t="shared" si="14"/>
        <v>11820</v>
      </c>
      <c r="G135" s="794">
        <v>1</v>
      </c>
      <c r="H135" s="760">
        <f t="shared" si="15"/>
        <v>0</v>
      </c>
      <c r="I135" s="46">
        <v>11820</v>
      </c>
      <c r="J135" s="758">
        <v>43378</v>
      </c>
      <c r="K135" s="757" t="s">
        <v>1257</v>
      </c>
    </row>
    <row r="136" spans="1:12">
      <c r="A136" s="488" t="s">
        <v>1027</v>
      </c>
      <c r="B136" s="488" t="s">
        <v>1031</v>
      </c>
      <c r="C136" s="757" t="s">
        <v>1258</v>
      </c>
      <c r="D136" s="101">
        <v>43313</v>
      </c>
      <c r="E136" s="758">
        <v>43322</v>
      </c>
      <c r="F136" s="759">
        <f t="shared" si="14"/>
        <v>5058.1840000000002</v>
      </c>
      <c r="G136" s="794">
        <v>1</v>
      </c>
      <c r="H136" s="760">
        <f t="shared" si="15"/>
        <v>0</v>
      </c>
      <c r="I136" s="46">
        <v>5058.1840000000002</v>
      </c>
      <c r="J136" s="758">
        <v>43388</v>
      </c>
      <c r="K136" s="757" t="s">
        <v>1259</v>
      </c>
    </row>
    <row r="137" spans="1:12">
      <c r="A137" s="761" t="s">
        <v>1027</v>
      </c>
      <c r="B137" s="761" t="s">
        <v>1200</v>
      </c>
      <c r="C137" s="765" t="s">
        <v>1260</v>
      </c>
      <c r="D137" s="758">
        <v>43157</v>
      </c>
      <c r="E137" s="758">
        <v>43157</v>
      </c>
      <c r="F137" s="759">
        <f t="shared" si="14"/>
        <v>24625</v>
      </c>
      <c r="G137" s="794">
        <v>1</v>
      </c>
      <c r="H137" s="760">
        <f t="shared" si="15"/>
        <v>0</v>
      </c>
      <c r="I137" s="764">
        <v>24625</v>
      </c>
      <c r="J137" s="758">
        <v>43393</v>
      </c>
      <c r="K137" s="765" t="s">
        <v>1261</v>
      </c>
    </row>
    <row r="138" spans="1:12">
      <c r="A138" s="761" t="s">
        <v>1027</v>
      </c>
      <c r="B138" s="761" t="s">
        <v>1200</v>
      </c>
      <c r="C138" s="765" t="s">
        <v>1262</v>
      </c>
      <c r="D138" s="758">
        <v>43157</v>
      </c>
      <c r="E138" s="758">
        <v>43157</v>
      </c>
      <c r="F138" s="759">
        <f t="shared" si="14"/>
        <v>19700</v>
      </c>
      <c r="G138" s="794">
        <v>1</v>
      </c>
      <c r="H138" s="760">
        <f t="shared" si="15"/>
        <v>0</v>
      </c>
      <c r="I138" s="764">
        <v>19700</v>
      </c>
      <c r="J138" s="758">
        <v>43393</v>
      </c>
      <c r="K138" s="765" t="s">
        <v>1263</v>
      </c>
    </row>
    <row r="139" spans="1:12">
      <c r="A139" s="761" t="s">
        <v>1027</v>
      </c>
      <c r="B139" s="761" t="s">
        <v>1127</v>
      </c>
      <c r="C139" s="765" t="s">
        <v>1264</v>
      </c>
      <c r="D139" s="758">
        <v>43284</v>
      </c>
      <c r="E139" s="758">
        <v>43308</v>
      </c>
      <c r="F139" s="759">
        <f t="shared" si="14"/>
        <v>1639.306</v>
      </c>
      <c r="G139" s="794">
        <v>1</v>
      </c>
      <c r="H139" s="760">
        <f t="shared" si="15"/>
        <v>0</v>
      </c>
      <c r="I139" s="764">
        <v>1639.306</v>
      </c>
      <c r="J139" s="758">
        <v>43393</v>
      </c>
      <c r="K139" s="765" t="s">
        <v>1265</v>
      </c>
    </row>
    <row r="140" spans="1:12">
      <c r="A140" s="488" t="s">
        <v>1027</v>
      </c>
      <c r="B140" s="488" t="s">
        <v>1036</v>
      </c>
      <c r="C140" s="757" t="s">
        <v>1037</v>
      </c>
      <c r="D140" s="101">
        <v>43319</v>
      </c>
      <c r="E140" s="758">
        <v>43327</v>
      </c>
      <c r="F140" s="759">
        <f t="shared" si="14"/>
        <v>2209.413</v>
      </c>
      <c r="G140" s="794">
        <v>1</v>
      </c>
      <c r="H140" s="760">
        <f t="shared" si="15"/>
        <v>0</v>
      </c>
      <c r="I140" s="46">
        <v>2209.413</v>
      </c>
      <c r="J140" s="758">
        <v>43403</v>
      </c>
      <c r="K140" s="757" t="s">
        <v>1038</v>
      </c>
      <c r="L140" s="762"/>
    </row>
    <row r="141" spans="1:12">
      <c r="A141" s="770" t="s">
        <v>1177</v>
      </c>
      <c r="B141" s="770" t="s">
        <v>1150</v>
      </c>
      <c r="C141" s="771" t="s">
        <v>1266</v>
      </c>
      <c r="D141" s="772">
        <v>43315</v>
      </c>
      <c r="E141" s="768">
        <v>43328</v>
      </c>
      <c r="F141" s="769">
        <f t="shared" si="14"/>
        <v>64585.387999999999</v>
      </c>
      <c r="G141" s="794">
        <v>1</v>
      </c>
      <c r="H141" s="760">
        <f t="shared" si="15"/>
        <v>0</v>
      </c>
      <c r="I141" s="773">
        <v>64585.387999999999</v>
      </c>
      <c r="J141" s="768">
        <v>43406</v>
      </c>
      <c r="K141" s="771" t="s">
        <v>1267</v>
      </c>
    </row>
    <row r="142" spans="1:12">
      <c r="A142" s="488" t="s">
        <v>1027</v>
      </c>
      <c r="B142" s="488" t="s">
        <v>1220</v>
      </c>
      <c r="C142" s="757" t="s">
        <v>1268</v>
      </c>
      <c r="D142" s="101">
        <v>43320</v>
      </c>
      <c r="E142" s="758">
        <v>43322</v>
      </c>
      <c r="F142" s="759">
        <f t="shared" si="14"/>
        <v>11374.386</v>
      </c>
      <c r="G142" s="794">
        <v>1</v>
      </c>
      <c r="H142" s="760">
        <f t="shared" si="15"/>
        <v>0</v>
      </c>
      <c r="I142" s="46">
        <v>11374.386</v>
      </c>
      <c r="J142" s="758">
        <v>43414</v>
      </c>
      <c r="K142" s="757" t="s">
        <v>1269</v>
      </c>
    </row>
  </sheetData>
  <sortState ref="A70:L149">
    <sortCondition ref="J70:J149"/>
  </sortState>
  <mergeCells count="1">
    <mergeCell ref="G1:H1"/>
  </mergeCells>
  <pageMargins left="0" right="0" top="0" bottom="0" header="0" footer="0"/>
  <pageSetup paperSize="9" scale="88" fitToHeight="5" orientation="portrait" horizontalDpi="180" verticalDpi="18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27"/>
  <sheetViews>
    <sheetView zoomScaleNormal="100" workbookViewId="0">
      <selection activeCell="F19" sqref="F19"/>
    </sheetView>
  </sheetViews>
  <sheetFormatPr baseColWidth="10" defaultRowHeight="15"/>
  <cols>
    <col min="1" max="1" width="5.7109375" style="488" bestFit="1" customWidth="1"/>
    <col min="2" max="2" width="32.28515625" style="488" bestFit="1" customWidth="1"/>
    <col min="3" max="3" width="9" style="488" bestFit="1" customWidth="1"/>
    <col min="4" max="4" width="10.7109375" style="101" bestFit="1" customWidth="1"/>
    <col min="5" max="5" width="11.42578125" style="101"/>
    <col min="6" max="6" width="10" style="46" bestFit="1" customWidth="1"/>
    <col min="7" max="7" width="2" style="777" bestFit="1" customWidth="1"/>
    <col min="8" max="8" width="2" style="488" bestFit="1" customWidth="1"/>
    <col min="9" max="9" width="10" style="46" bestFit="1" customWidth="1"/>
    <col min="10" max="10" width="10.7109375" style="101" bestFit="1" customWidth="1"/>
    <col min="11" max="11" width="8.5703125" style="488" bestFit="1" customWidth="1"/>
    <col min="12" max="12" width="13.85546875" style="488" bestFit="1" customWidth="1"/>
    <col min="13" max="16384" width="11.42578125" style="488"/>
  </cols>
  <sheetData>
    <row r="1" spans="1:12" s="756" customFormat="1" ht="12.75">
      <c r="A1" s="750" t="s">
        <v>959</v>
      </c>
      <c r="B1" s="750" t="s">
        <v>960</v>
      </c>
      <c r="C1" s="751" t="s">
        <v>961</v>
      </c>
      <c r="D1" s="752" t="s">
        <v>962</v>
      </c>
      <c r="E1" s="752" t="s">
        <v>963</v>
      </c>
      <c r="F1" s="774" t="s">
        <v>964</v>
      </c>
      <c r="G1" s="928" t="s">
        <v>965</v>
      </c>
      <c r="H1" s="928"/>
      <c r="I1" s="754" t="s">
        <v>966</v>
      </c>
      <c r="J1" s="752" t="s">
        <v>10</v>
      </c>
      <c r="K1" s="755" t="s">
        <v>317</v>
      </c>
      <c r="L1" s="755" t="s">
        <v>967</v>
      </c>
    </row>
    <row r="2" spans="1:12">
      <c r="A2" s="488" t="s">
        <v>968</v>
      </c>
      <c r="B2" s="488" t="s">
        <v>2442</v>
      </c>
      <c r="C2" s="757" t="s">
        <v>2445</v>
      </c>
      <c r="D2" s="101">
        <v>43328</v>
      </c>
      <c r="F2" s="46">
        <f t="shared" ref="F2:F27" si="0">SUM(I2*G2)</f>
        <v>13688.550999999999</v>
      </c>
      <c r="G2" s="775">
        <v>1</v>
      </c>
      <c r="H2" s="776">
        <f t="shared" ref="H2:H27" si="1">IF(E2="",1,0)</f>
        <v>1</v>
      </c>
      <c r="I2" s="46">
        <v>13688.550999999999</v>
      </c>
      <c r="J2" s="101">
        <v>43337</v>
      </c>
      <c r="K2" s="757" t="s">
        <v>1871</v>
      </c>
      <c r="L2" s="488" t="s">
        <v>972</v>
      </c>
    </row>
    <row r="3" spans="1:12">
      <c r="A3" s="488" t="s">
        <v>968</v>
      </c>
      <c r="B3" s="488" t="s">
        <v>1278</v>
      </c>
      <c r="C3" s="757" t="s">
        <v>1279</v>
      </c>
      <c r="D3" s="101">
        <v>42850</v>
      </c>
      <c r="F3" s="46">
        <f t="shared" si="0"/>
        <v>684</v>
      </c>
      <c r="G3" s="775">
        <v>1</v>
      </c>
      <c r="H3" s="776">
        <f t="shared" si="1"/>
        <v>1</v>
      </c>
      <c r="I3" s="46">
        <v>684</v>
      </c>
      <c r="J3" s="101">
        <f>+D3</f>
        <v>42850</v>
      </c>
      <c r="K3" s="757" t="s">
        <v>1280</v>
      </c>
      <c r="L3" s="714" t="s">
        <v>1042</v>
      </c>
    </row>
    <row r="4" spans="1:12">
      <c r="A4" s="488" t="s">
        <v>968</v>
      </c>
      <c r="B4" s="488" t="s">
        <v>1278</v>
      </c>
      <c r="C4" s="757" t="s">
        <v>1281</v>
      </c>
      <c r="D4" s="101">
        <v>42921</v>
      </c>
      <c r="F4" s="46">
        <f t="shared" si="0"/>
        <v>684</v>
      </c>
      <c r="G4" s="775">
        <v>1</v>
      </c>
      <c r="H4" s="776">
        <f t="shared" si="1"/>
        <v>1</v>
      </c>
      <c r="I4" s="46">
        <v>684</v>
      </c>
      <c r="J4" s="101">
        <f>+D4</f>
        <v>42921</v>
      </c>
      <c r="K4" s="757" t="s">
        <v>1282</v>
      </c>
      <c r="L4" s="714" t="s">
        <v>1042</v>
      </c>
    </row>
    <row r="5" spans="1:12">
      <c r="A5" s="488" t="s">
        <v>968</v>
      </c>
      <c r="B5" s="488" t="s">
        <v>1283</v>
      </c>
      <c r="C5" s="757" t="s">
        <v>1284</v>
      </c>
      <c r="D5" s="101">
        <v>42997</v>
      </c>
      <c r="F5" s="46">
        <f t="shared" si="0"/>
        <v>83.1</v>
      </c>
      <c r="G5" s="775">
        <v>1</v>
      </c>
      <c r="H5" s="776">
        <f t="shared" si="1"/>
        <v>1</v>
      </c>
      <c r="I5" s="46">
        <v>83.1</v>
      </c>
      <c r="J5" s="101">
        <f>+D5</f>
        <v>42997</v>
      </c>
      <c r="K5" s="757" t="s">
        <v>1285</v>
      </c>
      <c r="L5" s="714" t="s">
        <v>1042</v>
      </c>
    </row>
    <row r="6" spans="1:12">
      <c r="A6" s="488" t="s">
        <v>968</v>
      </c>
      <c r="B6" s="488" t="s">
        <v>1286</v>
      </c>
      <c r="C6" s="757" t="s">
        <v>1287</v>
      </c>
      <c r="D6" s="101">
        <v>43033</v>
      </c>
      <c r="F6" s="46">
        <f t="shared" si="0"/>
        <v>212.9</v>
      </c>
      <c r="G6" s="775">
        <v>1</v>
      </c>
      <c r="H6" s="776">
        <f t="shared" si="1"/>
        <v>1</v>
      </c>
      <c r="I6" s="46">
        <v>212.9</v>
      </c>
      <c r="J6" s="101">
        <f>+D6</f>
        <v>43033</v>
      </c>
      <c r="K6" s="757" t="s">
        <v>1288</v>
      </c>
      <c r="L6" s="714" t="s">
        <v>1042</v>
      </c>
    </row>
    <row r="7" spans="1:12">
      <c r="A7" s="488" t="s">
        <v>968</v>
      </c>
      <c r="B7" s="488" t="s">
        <v>1289</v>
      </c>
      <c r="C7" s="757" t="s">
        <v>1290</v>
      </c>
      <c r="D7" s="101">
        <v>43160</v>
      </c>
      <c r="F7" s="46">
        <f t="shared" si="0"/>
        <v>111.15600000000001</v>
      </c>
      <c r="G7" s="775">
        <v>1</v>
      </c>
      <c r="H7" s="776">
        <f t="shared" si="1"/>
        <v>1</v>
      </c>
      <c r="I7" s="46">
        <v>111.15600000000001</v>
      </c>
      <c r="J7" s="101">
        <f>+D7</f>
        <v>43160</v>
      </c>
      <c r="K7" s="757" t="s">
        <v>1291</v>
      </c>
      <c r="L7" s="714" t="s">
        <v>1042</v>
      </c>
    </row>
    <row r="8" spans="1:12">
      <c r="A8" s="488" t="s">
        <v>1027</v>
      </c>
      <c r="B8" s="761" t="s">
        <v>1127</v>
      </c>
      <c r="C8" s="757" t="s">
        <v>1292</v>
      </c>
      <c r="D8" s="101">
        <v>43060</v>
      </c>
      <c r="F8" s="46">
        <f t="shared" si="0"/>
        <v>1992.405</v>
      </c>
      <c r="G8" s="775">
        <v>1</v>
      </c>
      <c r="H8" s="776">
        <f t="shared" si="1"/>
        <v>1</v>
      </c>
      <c r="I8" s="46">
        <v>1992.405</v>
      </c>
      <c r="J8" s="101">
        <v>43174</v>
      </c>
      <c r="K8" s="757" t="s">
        <v>1293</v>
      </c>
      <c r="L8" s="714" t="s">
        <v>1042</v>
      </c>
    </row>
    <row r="9" spans="1:12">
      <c r="A9" s="488" t="s">
        <v>968</v>
      </c>
      <c r="B9" s="488" t="s">
        <v>1289</v>
      </c>
      <c r="C9" s="757" t="s">
        <v>1294</v>
      </c>
      <c r="D9" s="101">
        <v>43209</v>
      </c>
      <c r="F9" s="46">
        <f t="shared" si="0"/>
        <v>160.66499999999999</v>
      </c>
      <c r="G9" s="775">
        <v>1</v>
      </c>
      <c r="H9" s="776">
        <f t="shared" si="1"/>
        <v>1</v>
      </c>
      <c r="I9" s="46">
        <v>160.66499999999999</v>
      </c>
      <c r="J9" s="101">
        <f>+D9</f>
        <v>43209</v>
      </c>
      <c r="K9" s="757" t="s">
        <v>1295</v>
      </c>
      <c r="L9" s="714" t="s">
        <v>1042</v>
      </c>
    </row>
    <row r="10" spans="1:12">
      <c r="A10" s="488" t="s">
        <v>1027</v>
      </c>
      <c r="B10" s="761" t="s">
        <v>1127</v>
      </c>
      <c r="C10" s="757" t="s">
        <v>1296</v>
      </c>
      <c r="D10" s="101">
        <v>43166</v>
      </c>
      <c r="F10" s="46">
        <f t="shared" si="0"/>
        <v>1992.405</v>
      </c>
      <c r="G10" s="775">
        <v>1</v>
      </c>
      <c r="H10" s="776">
        <f t="shared" si="1"/>
        <v>1</v>
      </c>
      <c r="I10" s="46">
        <v>1992.405</v>
      </c>
      <c r="J10" s="101">
        <v>43210</v>
      </c>
      <c r="K10" s="757" t="s">
        <v>1297</v>
      </c>
      <c r="L10" s="714" t="s">
        <v>1042</v>
      </c>
    </row>
    <row r="11" spans="1:12">
      <c r="A11" s="488" t="s">
        <v>968</v>
      </c>
      <c r="B11" s="488" t="s">
        <v>1283</v>
      </c>
      <c r="C11" s="757" t="s">
        <v>1298</v>
      </c>
      <c r="D11" s="101">
        <v>43276</v>
      </c>
      <c r="F11" s="46">
        <f t="shared" si="0"/>
        <v>143.4</v>
      </c>
      <c r="G11" s="775">
        <v>1</v>
      </c>
      <c r="H11" s="776">
        <f t="shared" si="1"/>
        <v>1</v>
      </c>
      <c r="I11" s="46">
        <v>143.4</v>
      </c>
      <c r="J11" s="101">
        <f>+D11</f>
        <v>43276</v>
      </c>
      <c r="K11" s="757" t="s">
        <v>1299</v>
      </c>
      <c r="L11" s="714" t="s">
        <v>1042</v>
      </c>
    </row>
    <row r="12" spans="1:12">
      <c r="A12" s="488" t="s">
        <v>968</v>
      </c>
      <c r="B12" s="488" t="s">
        <v>969</v>
      </c>
      <c r="C12" s="757" t="s">
        <v>1300</v>
      </c>
      <c r="D12" s="101">
        <v>43276</v>
      </c>
      <c r="F12" s="46">
        <f t="shared" si="0"/>
        <v>81.971000000000004</v>
      </c>
      <c r="G12" s="775">
        <v>1</v>
      </c>
      <c r="H12" s="776">
        <f t="shared" si="1"/>
        <v>1</v>
      </c>
      <c r="I12" s="46">
        <v>81.971000000000004</v>
      </c>
      <c r="J12" s="101">
        <f>+D12</f>
        <v>43276</v>
      </c>
      <c r="K12" s="757" t="s">
        <v>1301</v>
      </c>
      <c r="L12" s="714" t="s">
        <v>1042</v>
      </c>
    </row>
    <row r="13" spans="1:12">
      <c r="A13" s="488" t="s">
        <v>968</v>
      </c>
      <c r="B13" s="488" t="s">
        <v>1302</v>
      </c>
      <c r="C13" s="757" t="s">
        <v>1303</v>
      </c>
      <c r="D13" s="101">
        <v>43278</v>
      </c>
      <c r="F13" s="46">
        <f t="shared" si="0"/>
        <v>2780.25</v>
      </c>
      <c r="G13" s="775">
        <v>1</v>
      </c>
      <c r="H13" s="776">
        <f t="shared" si="1"/>
        <v>1</v>
      </c>
      <c r="I13" s="46">
        <v>2780.25</v>
      </c>
      <c r="J13" s="101">
        <f>+D13</f>
        <v>43278</v>
      </c>
      <c r="K13" s="757" t="s">
        <v>1304</v>
      </c>
      <c r="L13" s="714" t="s">
        <v>1042</v>
      </c>
    </row>
    <row r="14" spans="1:12">
      <c r="A14" s="488" t="s">
        <v>1027</v>
      </c>
      <c r="B14" s="761" t="s">
        <v>1127</v>
      </c>
      <c r="C14" s="757" t="s">
        <v>1296</v>
      </c>
      <c r="D14" s="101">
        <v>43166</v>
      </c>
      <c r="F14" s="46">
        <f t="shared" si="0"/>
        <v>2009.385</v>
      </c>
      <c r="G14" s="775">
        <v>1</v>
      </c>
      <c r="H14" s="776">
        <f t="shared" si="1"/>
        <v>1</v>
      </c>
      <c r="I14" s="46">
        <v>2009.385</v>
      </c>
      <c r="J14" s="101">
        <v>43281</v>
      </c>
      <c r="K14" s="757" t="s">
        <v>1305</v>
      </c>
      <c r="L14" s="714" t="s">
        <v>1042</v>
      </c>
    </row>
    <row r="15" spans="1:12">
      <c r="A15" s="488" t="s">
        <v>968</v>
      </c>
      <c r="B15" s="488" t="s">
        <v>1194</v>
      </c>
      <c r="C15" s="757" t="s">
        <v>1306</v>
      </c>
      <c r="D15" s="101">
        <v>43287</v>
      </c>
      <c r="F15" s="46">
        <f t="shared" si="0"/>
        <v>143.4</v>
      </c>
      <c r="G15" s="775">
        <v>1</v>
      </c>
      <c r="H15" s="776">
        <f t="shared" si="1"/>
        <v>1</v>
      </c>
      <c r="I15" s="46">
        <v>143.4</v>
      </c>
      <c r="J15" s="101">
        <f t="shared" ref="J15:J21" si="2">+D15</f>
        <v>43287</v>
      </c>
      <c r="K15" s="757" t="s">
        <v>1307</v>
      </c>
      <c r="L15" s="714" t="s">
        <v>1042</v>
      </c>
    </row>
    <row r="16" spans="1:12">
      <c r="A16" s="488" t="s">
        <v>968</v>
      </c>
      <c r="B16" s="488" t="s">
        <v>1308</v>
      </c>
      <c r="C16" s="757" t="s">
        <v>1309</v>
      </c>
      <c r="D16" s="101">
        <v>43304</v>
      </c>
      <c r="F16" s="46">
        <f t="shared" si="0"/>
        <v>72</v>
      </c>
      <c r="G16" s="775">
        <v>1</v>
      </c>
      <c r="H16" s="776">
        <f t="shared" si="1"/>
        <v>1</v>
      </c>
      <c r="I16" s="46">
        <v>72</v>
      </c>
      <c r="J16" s="101">
        <f t="shared" si="2"/>
        <v>43304</v>
      </c>
      <c r="K16" s="757" t="s">
        <v>1310</v>
      </c>
      <c r="L16" s="714" t="s">
        <v>1042</v>
      </c>
    </row>
    <row r="17" spans="1:12">
      <c r="A17" s="488" t="s">
        <v>968</v>
      </c>
      <c r="B17" s="488" t="s">
        <v>1270</v>
      </c>
      <c r="C17" s="757" t="s">
        <v>1271</v>
      </c>
      <c r="D17" s="101">
        <v>43319</v>
      </c>
      <c r="F17" s="46">
        <f t="shared" si="0"/>
        <v>133.345</v>
      </c>
      <c r="G17" s="775">
        <v>1</v>
      </c>
      <c r="H17" s="776">
        <f t="shared" si="1"/>
        <v>1</v>
      </c>
      <c r="I17" s="46">
        <v>133.345</v>
      </c>
      <c r="J17" s="101">
        <f t="shared" si="2"/>
        <v>43319</v>
      </c>
      <c r="K17" s="757" t="s">
        <v>1272</v>
      </c>
      <c r="L17" s="488" t="s">
        <v>1042</v>
      </c>
    </row>
    <row r="18" spans="1:12">
      <c r="A18" s="488" t="s">
        <v>968</v>
      </c>
      <c r="B18" s="488" t="s">
        <v>976</v>
      </c>
      <c r="C18" s="757" t="s">
        <v>1273</v>
      </c>
      <c r="D18" s="101">
        <v>43319</v>
      </c>
      <c r="F18" s="46">
        <f t="shared" si="0"/>
        <v>4982.2290000000003</v>
      </c>
      <c r="G18" s="775">
        <v>1</v>
      </c>
      <c r="H18" s="776">
        <f t="shared" si="1"/>
        <v>1</v>
      </c>
      <c r="I18" s="46">
        <v>4982.2290000000003</v>
      </c>
      <c r="J18" s="101">
        <f t="shared" si="2"/>
        <v>43319</v>
      </c>
      <c r="K18" s="757" t="s">
        <v>1274</v>
      </c>
      <c r="L18" s="488" t="s">
        <v>1042</v>
      </c>
    </row>
    <row r="19" spans="1:12">
      <c r="A19" s="488" t="s">
        <v>968</v>
      </c>
      <c r="B19" s="488" t="s">
        <v>1275</v>
      </c>
      <c r="C19" s="757" t="s">
        <v>1276</v>
      </c>
      <c r="D19" s="101">
        <v>43319</v>
      </c>
      <c r="F19" s="46">
        <f t="shared" si="0"/>
        <v>1045.7329999999999</v>
      </c>
      <c r="G19" s="775">
        <v>1</v>
      </c>
      <c r="H19" s="776">
        <f t="shared" si="1"/>
        <v>1</v>
      </c>
      <c r="I19" s="46">
        <v>1045.7329999999999</v>
      </c>
      <c r="J19" s="101">
        <f t="shared" si="2"/>
        <v>43319</v>
      </c>
      <c r="K19" s="757" t="s">
        <v>1277</v>
      </c>
      <c r="L19" s="488" t="s">
        <v>1042</v>
      </c>
    </row>
    <row r="20" spans="1:12">
      <c r="A20" s="488" t="s">
        <v>1027</v>
      </c>
      <c r="B20" s="488" t="s">
        <v>1311</v>
      </c>
      <c r="C20" s="757" t="s">
        <v>1312</v>
      </c>
      <c r="D20" s="101">
        <v>43293</v>
      </c>
      <c r="E20" s="101">
        <v>43290</v>
      </c>
      <c r="F20" s="46">
        <f t="shared" si="0"/>
        <v>2207.2730000000001</v>
      </c>
      <c r="G20" s="775">
        <v>1</v>
      </c>
      <c r="H20" s="776">
        <f t="shared" si="1"/>
        <v>0</v>
      </c>
      <c r="I20" s="46">
        <v>2207.2730000000001</v>
      </c>
      <c r="J20" s="101">
        <f t="shared" si="2"/>
        <v>43293</v>
      </c>
      <c r="K20" s="757" t="s">
        <v>1313</v>
      </c>
    </row>
    <row r="21" spans="1:12">
      <c r="A21" s="488" t="s">
        <v>968</v>
      </c>
      <c r="B21" s="488" t="s">
        <v>1019</v>
      </c>
      <c r="C21" s="757" t="s">
        <v>1314</v>
      </c>
      <c r="D21" s="101">
        <v>43312</v>
      </c>
      <c r="E21" s="101">
        <v>43322</v>
      </c>
      <c r="F21" s="46">
        <f t="shared" si="0"/>
        <v>64.734999999999999</v>
      </c>
      <c r="G21" s="775">
        <v>1</v>
      </c>
      <c r="H21" s="776">
        <f t="shared" si="1"/>
        <v>0</v>
      </c>
      <c r="I21" s="46">
        <v>64.734999999999999</v>
      </c>
      <c r="J21" s="101">
        <f t="shared" si="2"/>
        <v>43312</v>
      </c>
      <c r="K21" s="757" t="s">
        <v>1315</v>
      </c>
    </row>
    <row r="22" spans="1:12">
      <c r="A22" s="488" t="s">
        <v>968</v>
      </c>
      <c r="B22" s="488" t="s">
        <v>1019</v>
      </c>
      <c r="C22" s="757" t="s">
        <v>1316</v>
      </c>
      <c r="D22" s="101">
        <v>43313</v>
      </c>
      <c r="E22" s="101">
        <v>43322</v>
      </c>
      <c r="F22" s="46">
        <f t="shared" si="0"/>
        <v>2319.5749999999998</v>
      </c>
      <c r="G22" s="775">
        <v>1</v>
      </c>
      <c r="H22" s="776">
        <f t="shared" si="1"/>
        <v>0</v>
      </c>
      <c r="I22" s="46">
        <v>2319.5749999999998</v>
      </c>
      <c r="J22" s="101">
        <v>43313</v>
      </c>
      <c r="K22" s="757" t="s">
        <v>1317</v>
      </c>
    </row>
    <row r="23" spans="1:12">
      <c r="A23" s="488" t="s">
        <v>968</v>
      </c>
      <c r="B23" s="488" t="s">
        <v>1181</v>
      </c>
      <c r="C23" s="757" t="s">
        <v>1318</v>
      </c>
      <c r="D23" s="101">
        <v>43293</v>
      </c>
      <c r="E23" s="101">
        <v>43318</v>
      </c>
      <c r="F23" s="46">
        <f t="shared" si="0"/>
        <v>1689.2139999999999</v>
      </c>
      <c r="G23" s="775">
        <v>1</v>
      </c>
      <c r="H23" s="776">
        <f t="shared" si="1"/>
        <v>0</v>
      </c>
      <c r="I23" s="46">
        <v>1689.2139999999999</v>
      </c>
      <c r="J23" s="101">
        <v>43317</v>
      </c>
      <c r="K23" s="757" t="s">
        <v>1319</v>
      </c>
    </row>
    <row r="24" spans="1:12">
      <c r="A24" s="488" t="s">
        <v>968</v>
      </c>
      <c r="B24" s="488" t="s">
        <v>1184</v>
      </c>
      <c r="C24" s="757" t="s">
        <v>2444</v>
      </c>
      <c r="D24" s="101">
        <v>43329</v>
      </c>
      <c r="E24" s="101">
        <v>43329</v>
      </c>
      <c r="F24" s="46">
        <f t="shared" si="0"/>
        <v>502.815</v>
      </c>
      <c r="G24" s="775">
        <v>1</v>
      </c>
      <c r="H24" s="776">
        <f t="shared" si="1"/>
        <v>0</v>
      </c>
      <c r="I24" s="46">
        <v>502.815</v>
      </c>
      <c r="J24" s="101">
        <f>D24</f>
        <v>43329</v>
      </c>
      <c r="K24" s="757" t="s">
        <v>2446</v>
      </c>
    </row>
    <row r="25" spans="1:12">
      <c r="A25" s="488" t="s">
        <v>1027</v>
      </c>
      <c r="B25" s="488" t="s">
        <v>1194</v>
      </c>
      <c r="C25" s="757" t="s">
        <v>1320</v>
      </c>
      <c r="D25" s="101">
        <v>43276</v>
      </c>
      <c r="E25" s="101">
        <v>43320</v>
      </c>
      <c r="F25" s="46">
        <f t="shared" si="0"/>
        <v>848.42100000000005</v>
      </c>
      <c r="G25" s="775">
        <v>1</v>
      </c>
      <c r="H25" s="776">
        <f t="shared" si="1"/>
        <v>0</v>
      </c>
      <c r="I25" s="46">
        <v>848.42100000000005</v>
      </c>
      <c r="J25" s="101">
        <v>43337</v>
      </c>
      <c r="K25" s="757" t="s">
        <v>1321</v>
      </c>
    </row>
    <row r="26" spans="1:12">
      <c r="A26" s="488" t="s">
        <v>1027</v>
      </c>
      <c r="B26" s="488" t="s">
        <v>1322</v>
      </c>
      <c r="C26" s="757" t="s">
        <v>1323</v>
      </c>
      <c r="D26" s="101">
        <v>43313</v>
      </c>
      <c r="E26" s="101">
        <v>43320</v>
      </c>
      <c r="F26" s="46">
        <f t="shared" si="0"/>
        <v>3282.6109999999999</v>
      </c>
      <c r="G26" s="775">
        <v>1</v>
      </c>
      <c r="H26" s="776">
        <f t="shared" si="1"/>
        <v>0</v>
      </c>
      <c r="I26" s="46">
        <v>3282.6109999999999</v>
      </c>
      <c r="J26" s="101">
        <v>43368</v>
      </c>
      <c r="K26" s="757" t="s">
        <v>1324</v>
      </c>
    </row>
    <row r="27" spans="1:12">
      <c r="A27" s="488" t="s">
        <v>1177</v>
      </c>
      <c r="B27" s="488" t="s">
        <v>1150</v>
      </c>
      <c r="C27" s="757" t="s">
        <v>1325</v>
      </c>
      <c r="D27" s="101">
        <v>43284</v>
      </c>
      <c r="E27" s="101">
        <v>43285</v>
      </c>
      <c r="F27" s="46">
        <f t="shared" si="0"/>
        <v>61824.584999999999</v>
      </c>
      <c r="G27" s="775">
        <v>1</v>
      </c>
      <c r="H27" s="776">
        <f t="shared" si="1"/>
        <v>0</v>
      </c>
      <c r="I27" s="46">
        <v>61824.584999999999</v>
      </c>
      <c r="J27" s="101">
        <v>43376</v>
      </c>
      <c r="K27" s="757" t="s">
        <v>1326</v>
      </c>
    </row>
  </sheetData>
  <sortState ref="A2:L32">
    <sortCondition ref="L2:L32"/>
    <sortCondition ref="J2:J32"/>
  </sortState>
  <mergeCells count="1">
    <mergeCell ref="G1:H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1"/>
  <sheetViews>
    <sheetView workbookViewId="0">
      <selection activeCell="E10" sqref="E10"/>
    </sheetView>
  </sheetViews>
  <sheetFormatPr baseColWidth="10" defaultRowHeight="15"/>
  <cols>
    <col min="1" max="1" width="5.7109375" style="488" bestFit="1" customWidth="1"/>
    <col min="2" max="2" width="29.42578125" style="488" bestFit="1" customWidth="1"/>
    <col min="3" max="3" width="9" style="488" bestFit="1" customWidth="1"/>
    <col min="4" max="4" width="10.7109375" style="488" bestFit="1" customWidth="1"/>
    <col min="5" max="5" width="11.42578125" style="101" bestFit="1" customWidth="1"/>
    <col min="6" max="6" width="11" style="488" bestFit="1" customWidth="1"/>
    <col min="7" max="7" width="2.5703125" style="46" customWidth="1"/>
    <col min="8" max="8" width="2" style="488" bestFit="1" customWidth="1"/>
    <col min="9" max="9" width="11" style="488" bestFit="1" customWidth="1"/>
    <col min="10" max="10" width="10.7109375" style="101" bestFit="1" customWidth="1"/>
    <col min="11" max="11" width="8.140625" style="488" bestFit="1" customWidth="1"/>
    <col min="12" max="12" width="13.85546875" style="488" bestFit="1" customWidth="1"/>
    <col min="13" max="16384" width="11.42578125" style="488"/>
  </cols>
  <sheetData>
    <row r="1" spans="1:12" s="756" customFormat="1" ht="12.75">
      <c r="A1" s="750" t="s">
        <v>959</v>
      </c>
      <c r="B1" s="750" t="s">
        <v>960</v>
      </c>
      <c r="C1" s="751" t="s">
        <v>961</v>
      </c>
      <c r="D1" s="752" t="s">
        <v>962</v>
      </c>
      <c r="E1" s="752" t="s">
        <v>963</v>
      </c>
      <c r="F1" s="774" t="s">
        <v>964</v>
      </c>
      <c r="G1" s="928" t="s">
        <v>965</v>
      </c>
      <c r="H1" s="928"/>
      <c r="I1" s="754" t="s">
        <v>966</v>
      </c>
      <c r="J1" s="752" t="s">
        <v>10</v>
      </c>
      <c r="K1" s="755" t="s">
        <v>317</v>
      </c>
      <c r="L1" s="755" t="s">
        <v>967</v>
      </c>
    </row>
    <row r="2" spans="1:12">
      <c r="A2" s="488" t="s">
        <v>968</v>
      </c>
      <c r="B2" s="488" t="s">
        <v>1327</v>
      </c>
      <c r="C2" s="757" t="s">
        <v>1328</v>
      </c>
      <c r="D2" s="101">
        <v>43105</v>
      </c>
      <c r="F2" s="46">
        <f t="shared" ref="F2:F31" si="0">SUM(I2*G2)</f>
        <v>522.74599999999998</v>
      </c>
      <c r="G2" s="775">
        <v>1</v>
      </c>
      <c r="H2" s="776">
        <f t="shared" ref="H2:H31" si="1">IF(E2="",1,0)</f>
        <v>1</v>
      </c>
      <c r="I2" s="46">
        <v>522.74599999999998</v>
      </c>
      <c r="J2" s="101">
        <f t="shared" ref="J2:J11" si="2">D2</f>
        <v>43105</v>
      </c>
      <c r="K2" s="757" t="s">
        <v>1329</v>
      </c>
      <c r="L2" s="714" t="s">
        <v>1042</v>
      </c>
    </row>
    <row r="3" spans="1:12">
      <c r="A3" s="488" t="s">
        <v>968</v>
      </c>
      <c r="B3" s="488" t="s">
        <v>1330</v>
      </c>
      <c r="C3" s="757" t="s">
        <v>1331</v>
      </c>
      <c r="D3" s="101">
        <v>43157</v>
      </c>
      <c r="F3" s="46">
        <f t="shared" si="0"/>
        <v>1485.1669999999999</v>
      </c>
      <c r="G3" s="775">
        <v>1</v>
      </c>
      <c r="H3" s="776">
        <f t="shared" si="1"/>
        <v>1</v>
      </c>
      <c r="I3" s="46">
        <v>1485.1669999999999</v>
      </c>
      <c r="J3" s="101">
        <f t="shared" si="2"/>
        <v>43157</v>
      </c>
      <c r="K3" s="757" t="s">
        <v>1332</v>
      </c>
      <c r="L3" s="714" t="s">
        <v>1042</v>
      </c>
    </row>
    <row r="4" spans="1:12">
      <c r="A4" s="488" t="s">
        <v>968</v>
      </c>
      <c r="B4" s="488" t="s">
        <v>973</v>
      </c>
      <c r="C4" s="757" t="s">
        <v>1333</v>
      </c>
      <c r="D4" s="101">
        <v>43216</v>
      </c>
      <c r="F4" s="46">
        <f t="shared" si="0"/>
        <v>143.4</v>
      </c>
      <c r="G4" s="775">
        <v>1</v>
      </c>
      <c r="H4" s="776">
        <f t="shared" si="1"/>
        <v>1</v>
      </c>
      <c r="I4" s="46">
        <v>143.4</v>
      </c>
      <c r="J4" s="101">
        <f t="shared" si="2"/>
        <v>43216</v>
      </c>
      <c r="K4" s="757" t="s">
        <v>1334</v>
      </c>
      <c r="L4" s="714" t="s">
        <v>1042</v>
      </c>
    </row>
    <row r="5" spans="1:12">
      <c r="A5" s="488" t="s">
        <v>968</v>
      </c>
      <c r="B5" s="488" t="s">
        <v>969</v>
      </c>
      <c r="C5" s="757" t="s">
        <v>1335</v>
      </c>
      <c r="D5" s="101">
        <v>43273</v>
      </c>
      <c r="F5" s="46">
        <f t="shared" si="0"/>
        <v>472.17099999999999</v>
      </c>
      <c r="G5" s="775">
        <v>1</v>
      </c>
      <c r="H5" s="776">
        <f t="shared" si="1"/>
        <v>1</v>
      </c>
      <c r="I5" s="46">
        <v>472.17099999999999</v>
      </c>
      <c r="J5" s="101">
        <f t="shared" si="2"/>
        <v>43273</v>
      </c>
      <c r="K5" s="757" t="s">
        <v>1336</v>
      </c>
      <c r="L5" s="714" t="s">
        <v>1042</v>
      </c>
    </row>
    <row r="6" spans="1:12">
      <c r="A6" s="488" t="s">
        <v>968</v>
      </c>
      <c r="B6" s="488" t="s">
        <v>1184</v>
      </c>
      <c r="C6" s="757" t="s">
        <v>1340</v>
      </c>
      <c r="D6" s="101">
        <v>43284</v>
      </c>
      <c r="E6" s="101">
        <v>43332</v>
      </c>
      <c r="F6" s="46">
        <f t="shared" si="0"/>
        <v>702.18399999999997</v>
      </c>
      <c r="G6" s="775">
        <v>1</v>
      </c>
      <c r="H6" s="776">
        <f t="shared" si="1"/>
        <v>0</v>
      </c>
      <c r="I6" s="46">
        <v>702.18399999999997</v>
      </c>
      <c r="J6" s="101">
        <f t="shared" si="2"/>
        <v>43284</v>
      </c>
      <c r="K6" s="757" t="s">
        <v>1341</v>
      </c>
      <c r="L6" s="714" t="s">
        <v>1042</v>
      </c>
    </row>
    <row r="7" spans="1:12">
      <c r="A7" s="488" t="s">
        <v>968</v>
      </c>
      <c r="B7" s="488" t="s">
        <v>1342</v>
      </c>
      <c r="C7" s="757" t="s">
        <v>1343</v>
      </c>
      <c r="D7" s="101">
        <v>43284</v>
      </c>
      <c r="F7" s="46">
        <f t="shared" si="0"/>
        <v>95.2</v>
      </c>
      <c r="G7" s="775">
        <v>1</v>
      </c>
      <c r="H7" s="776">
        <f t="shared" si="1"/>
        <v>1</v>
      </c>
      <c r="I7" s="46">
        <v>95.2</v>
      </c>
      <c r="J7" s="101">
        <f t="shared" si="2"/>
        <v>43284</v>
      </c>
      <c r="K7" s="757" t="s">
        <v>1344</v>
      </c>
      <c r="L7" s="714" t="s">
        <v>1042</v>
      </c>
    </row>
    <row r="8" spans="1:12">
      <c r="A8" s="488" t="s">
        <v>968</v>
      </c>
      <c r="B8" s="488" t="s">
        <v>1342</v>
      </c>
      <c r="C8" s="757" t="s">
        <v>1345</v>
      </c>
      <c r="D8" s="101">
        <v>43287</v>
      </c>
      <c r="F8" s="46">
        <f t="shared" si="0"/>
        <v>303.45</v>
      </c>
      <c r="G8" s="775">
        <v>1</v>
      </c>
      <c r="H8" s="776">
        <f t="shared" si="1"/>
        <v>1</v>
      </c>
      <c r="I8" s="46">
        <v>303.45</v>
      </c>
      <c r="J8" s="101">
        <f t="shared" si="2"/>
        <v>43287</v>
      </c>
      <c r="K8" s="757" t="s">
        <v>1346</v>
      </c>
      <c r="L8" s="714" t="s">
        <v>1042</v>
      </c>
    </row>
    <row r="9" spans="1:12">
      <c r="A9" s="488" t="s">
        <v>968</v>
      </c>
      <c r="B9" s="488" t="s">
        <v>1347</v>
      </c>
      <c r="C9" s="757" t="s">
        <v>1348</v>
      </c>
      <c r="D9" s="101">
        <v>43287</v>
      </c>
      <c r="E9" s="101">
        <v>43336</v>
      </c>
      <c r="F9" s="46">
        <f t="shared" si="0"/>
        <v>996.68200000000002</v>
      </c>
      <c r="G9" s="775">
        <v>1</v>
      </c>
      <c r="H9" s="776">
        <f t="shared" si="1"/>
        <v>0</v>
      </c>
      <c r="I9" s="46">
        <v>996.68200000000002</v>
      </c>
      <c r="J9" s="101">
        <f t="shared" si="2"/>
        <v>43287</v>
      </c>
      <c r="K9" s="757" t="s">
        <v>1349</v>
      </c>
      <c r="L9" s="714" t="s">
        <v>1042</v>
      </c>
    </row>
    <row r="10" spans="1:12">
      <c r="A10" s="488" t="s">
        <v>968</v>
      </c>
      <c r="B10" s="488" t="s">
        <v>1194</v>
      </c>
      <c r="C10" s="757" t="s">
        <v>1350</v>
      </c>
      <c r="D10" s="101">
        <v>43287</v>
      </c>
      <c r="F10" s="46">
        <f t="shared" si="0"/>
        <v>44.63</v>
      </c>
      <c r="G10" s="775">
        <v>1</v>
      </c>
      <c r="H10" s="776">
        <f t="shared" si="1"/>
        <v>1</v>
      </c>
      <c r="I10" s="46">
        <v>44.63</v>
      </c>
      <c r="J10" s="101">
        <f t="shared" si="2"/>
        <v>43287</v>
      </c>
      <c r="K10" s="757" t="s">
        <v>1351</v>
      </c>
      <c r="L10" s="714" t="s">
        <v>1042</v>
      </c>
    </row>
    <row r="11" spans="1:12">
      <c r="A11" s="488" t="s">
        <v>968</v>
      </c>
      <c r="B11" s="488" t="s">
        <v>969</v>
      </c>
      <c r="C11" s="757" t="s">
        <v>1356</v>
      </c>
      <c r="D11" s="101">
        <v>43314</v>
      </c>
      <c r="F11" s="46">
        <f t="shared" si="0"/>
        <v>152.577</v>
      </c>
      <c r="G11" s="775">
        <v>1</v>
      </c>
      <c r="H11" s="776">
        <f t="shared" si="1"/>
        <v>1</v>
      </c>
      <c r="I11" s="46">
        <v>152.577</v>
      </c>
      <c r="J11" s="101">
        <f t="shared" si="2"/>
        <v>43314</v>
      </c>
      <c r="K11" s="757" t="s">
        <v>1357</v>
      </c>
      <c r="L11" s="714" t="s">
        <v>1042</v>
      </c>
    </row>
    <row r="12" spans="1:12">
      <c r="A12" s="488" t="s">
        <v>968</v>
      </c>
      <c r="B12" s="488" t="s">
        <v>969</v>
      </c>
      <c r="C12" s="757" t="s">
        <v>1359</v>
      </c>
      <c r="D12" s="101">
        <v>43321</v>
      </c>
      <c r="F12" s="46">
        <f t="shared" si="0"/>
        <v>342.82600000000002</v>
      </c>
      <c r="G12" s="775">
        <v>1</v>
      </c>
      <c r="H12" s="776">
        <f t="shared" si="1"/>
        <v>1</v>
      </c>
      <c r="I12" s="46">
        <v>342.82600000000002</v>
      </c>
      <c r="J12" s="101">
        <f>+D12</f>
        <v>43321</v>
      </c>
      <c r="K12" s="757" t="s">
        <v>1360</v>
      </c>
      <c r="L12" s="714" t="s">
        <v>1042</v>
      </c>
    </row>
    <row r="13" spans="1:12">
      <c r="A13" s="488" t="s">
        <v>968</v>
      </c>
      <c r="B13" s="488" t="s">
        <v>1361</v>
      </c>
      <c r="C13" s="757" t="s">
        <v>1362</v>
      </c>
      <c r="D13" s="101">
        <v>43321</v>
      </c>
      <c r="F13" s="46">
        <f t="shared" si="0"/>
        <v>717.10799999999995</v>
      </c>
      <c r="G13" s="775">
        <v>1</v>
      </c>
      <c r="H13" s="776">
        <f t="shared" si="1"/>
        <v>1</v>
      </c>
      <c r="I13" s="46">
        <v>717.10799999999995</v>
      </c>
      <c r="J13" s="101">
        <f>+D13</f>
        <v>43321</v>
      </c>
      <c r="K13" s="757" t="s">
        <v>1363</v>
      </c>
      <c r="L13" s="714" t="s">
        <v>1042</v>
      </c>
    </row>
    <row r="14" spans="1:12">
      <c r="A14" s="488" t="s">
        <v>968</v>
      </c>
      <c r="B14" s="488" t="s">
        <v>2443</v>
      </c>
      <c r="C14" s="757" t="s">
        <v>2438</v>
      </c>
      <c r="D14" s="101">
        <v>43327</v>
      </c>
      <c r="F14" s="46">
        <f t="shared" si="0"/>
        <v>714.6</v>
      </c>
      <c r="G14" s="775">
        <v>1</v>
      </c>
      <c r="H14" s="776">
        <f t="shared" si="1"/>
        <v>1</v>
      </c>
      <c r="I14" s="46">
        <v>714.6</v>
      </c>
      <c r="J14" s="101">
        <f>+D14</f>
        <v>43327</v>
      </c>
      <c r="K14" s="757" t="s">
        <v>1553</v>
      </c>
      <c r="L14" s="488" t="s">
        <v>1042</v>
      </c>
    </row>
    <row r="15" spans="1:12">
      <c r="A15" s="488" t="s">
        <v>968</v>
      </c>
      <c r="B15" s="488" t="s">
        <v>973</v>
      </c>
      <c r="C15" s="757" t="s">
        <v>2435</v>
      </c>
      <c r="D15" s="101">
        <v>43327</v>
      </c>
      <c r="F15" s="46">
        <f t="shared" si="0"/>
        <v>1130.5440000000001</v>
      </c>
      <c r="G15" s="775">
        <v>1</v>
      </c>
      <c r="H15" s="776">
        <f t="shared" si="1"/>
        <v>1</v>
      </c>
      <c r="I15" s="46">
        <v>1130.5440000000001</v>
      </c>
      <c r="J15" s="101">
        <f>+D15</f>
        <v>43327</v>
      </c>
      <c r="K15" s="757" t="s">
        <v>2439</v>
      </c>
      <c r="L15" s="488" t="s">
        <v>1042</v>
      </c>
    </row>
    <row r="16" spans="1:12">
      <c r="A16" s="488" t="s">
        <v>968</v>
      </c>
      <c r="B16" s="488" t="s">
        <v>1337</v>
      </c>
      <c r="C16" s="757" t="s">
        <v>1338</v>
      </c>
      <c r="D16" s="101">
        <v>43277</v>
      </c>
      <c r="E16" s="101">
        <v>43329</v>
      </c>
      <c r="F16" s="46">
        <f t="shared" si="0"/>
        <v>2919.1350000000002</v>
      </c>
      <c r="G16" s="775">
        <v>1</v>
      </c>
      <c r="H16" s="776">
        <f t="shared" si="1"/>
        <v>0</v>
      </c>
      <c r="I16" s="46">
        <v>2919.1350000000002</v>
      </c>
      <c r="J16" s="101">
        <f>D16</f>
        <v>43277</v>
      </c>
      <c r="K16" s="757" t="s">
        <v>1339</v>
      </c>
      <c r="L16" s="714"/>
    </row>
    <row r="17" spans="1:12">
      <c r="A17" s="488" t="s">
        <v>968</v>
      </c>
      <c r="B17" s="488" t="s">
        <v>1337</v>
      </c>
      <c r="C17" s="757" t="s">
        <v>1352</v>
      </c>
      <c r="D17" s="101">
        <v>43294</v>
      </c>
      <c r="E17" s="101">
        <v>43329</v>
      </c>
      <c r="F17" s="46">
        <f t="shared" si="0"/>
        <v>253.55600000000001</v>
      </c>
      <c r="G17" s="775">
        <v>1</v>
      </c>
      <c r="H17" s="776">
        <f t="shared" si="1"/>
        <v>0</v>
      </c>
      <c r="I17" s="46">
        <v>253.55600000000001</v>
      </c>
      <c r="J17" s="101">
        <f>D17</f>
        <v>43294</v>
      </c>
      <c r="K17" s="757" t="s">
        <v>1353</v>
      </c>
      <c r="L17" s="714"/>
    </row>
    <row r="18" spans="1:12">
      <c r="A18" s="488" t="s">
        <v>968</v>
      </c>
      <c r="B18" s="488" t="s">
        <v>1337</v>
      </c>
      <c r="C18" s="757" t="s">
        <v>1354</v>
      </c>
      <c r="D18" s="101">
        <v>43314</v>
      </c>
      <c r="E18" s="101">
        <v>43329</v>
      </c>
      <c r="F18" s="46">
        <f t="shared" si="0"/>
        <v>1757.57</v>
      </c>
      <c r="G18" s="775">
        <v>1</v>
      </c>
      <c r="H18" s="776">
        <f t="shared" si="1"/>
        <v>0</v>
      </c>
      <c r="I18" s="46">
        <v>1757.57</v>
      </c>
      <c r="J18" s="101">
        <f>D18</f>
        <v>43314</v>
      </c>
      <c r="K18" s="757" t="s">
        <v>1355</v>
      </c>
      <c r="L18" s="714"/>
    </row>
    <row r="19" spans="1:12">
      <c r="A19" s="488" t="s">
        <v>968</v>
      </c>
      <c r="B19" s="488" t="s">
        <v>1181</v>
      </c>
      <c r="C19" s="757" t="s">
        <v>1365</v>
      </c>
      <c r="D19" s="101">
        <v>43294</v>
      </c>
      <c r="E19" s="101">
        <v>43318</v>
      </c>
      <c r="F19" s="46">
        <f t="shared" si="0"/>
        <v>1976.7170000000001</v>
      </c>
      <c r="G19" s="775">
        <v>1</v>
      </c>
      <c r="H19" s="776">
        <f t="shared" si="1"/>
        <v>0</v>
      </c>
      <c r="I19" s="46">
        <v>1976.7170000000001</v>
      </c>
      <c r="J19" s="101">
        <v>43317</v>
      </c>
      <c r="K19" s="757" t="s">
        <v>1366</v>
      </c>
    </row>
    <row r="20" spans="1:12">
      <c r="A20" s="488" t="s">
        <v>968</v>
      </c>
      <c r="B20" s="488" t="s">
        <v>2442</v>
      </c>
      <c r="C20" s="757" t="s">
        <v>2437</v>
      </c>
      <c r="D20" s="101">
        <v>43327</v>
      </c>
      <c r="E20" s="101">
        <v>43328</v>
      </c>
      <c r="F20" s="46">
        <f t="shared" si="0"/>
        <v>1852</v>
      </c>
      <c r="G20" s="775">
        <v>1</v>
      </c>
      <c r="H20" s="776">
        <f t="shared" si="1"/>
        <v>0</v>
      </c>
      <c r="I20" s="46">
        <v>1852</v>
      </c>
      <c r="J20" s="101">
        <f>+D20</f>
        <v>43327</v>
      </c>
      <c r="K20" s="757" t="s">
        <v>2441</v>
      </c>
    </row>
    <row r="21" spans="1:12">
      <c r="A21" s="488" t="s">
        <v>968</v>
      </c>
      <c r="B21" s="488" t="s">
        <v>1337</v>
      </c>
      <c r="C21" s="757" t="s">
        <v>2436</v>
      </c>
      <c r="D21" s="101">
        <v>43327</v>
      </c>
      <c r="E21" s="101">
        <v>43329</v>
      </c>
      <c r="F21" s="46">
        <f t="shared" si="0"/>
        <v>1731.0619999999999</v>
      </c>
      <c r="G21" s="775">
        <v>1</v>
      </c>
      <c r="H21" s="776">
        <f t="shared" si="1"/>
        <v>0</v>
      </c>
      <c r="I21" s="46">
        <v>1731.0619999999999</v>
      </c>
      <c r="J21" s="101">
        <f>+D21</f>
        <v>43327</v>
      </c>
      <c r="K21" s="757" t="s">
        <v>2440</v>
      </c>
    </row>
    <row r="22" spans="1:12">
      <c r="A22" s="488" t="s">
        <v>1027</v>
      </c>
      <c r="B22" s="488" t="s">
        <v>1367</v>
      </c>
      <c r="C22" s="757" t="s">
        <v>1368</v>
      </c>
      <c r="D22" s="101">
        <v>43283</v>
      </c>
      <c r="E22" s="101">
        <v>43301</v>
      </c>
      <c r="F22" s="46">
        <f t="shared" si="0"/>
        <v>75000</v>
      </c>
      <c r="G22" s="775">
        <v>1</v>
      </c>
      <c r="H22" s="776">
        <f t="shared" si="1"/>
        <v>0</v>
      </c>
      <c r="I22" s="46">
        <v>75000</v>
      </c>
      <c r="J22" s="101">
        <v>43332</v>
      </c>
      <c r="K22" s="757" t="s">
        <v>1369</v>
      </c>
    </row>
    <row r="23" spans="1:12">
      <c r="A23" s="488" t="s">
        <v>1027</v>
      </c>
      <c r="B23" s="488" t="s">
        <v>113</v>
      </c>
      <c r="C23" s="757" t="s">
        <v>1370</v>
      </c>
      <c r="D23" s="101">
        <v>43283</v>
      </c>
      <c r="E23" s="101">
        <v>43301</v>
      </c>
      <c r="F23" s="46">
        <f t="shared" si="0"/>
        <v>25000</v>
      </c>
      <c r="G23" s="775">
        <v>1</v>
      </c>
      <c r="H23" s="776">
        <f t="shared" si="1"/>
        <v>0</v>
      </c>
      <c r="I23" s="46">
        <v>25000</v>
      </c>
      <c r="J23" s="101">
        <v>43332</v>
      </c>
      <c r="K23" s="757" t="s">
        <v>1371</v>
      </c>
    </row>
    <row r="24" spans="1:12">
      <c r="A24" s="488" t="s">
        <v>1027</v>
      </c>
      <c r="B24" s="488" t="s">
        <v>1367</v>
      </c>
      <c r="C24" s="757" t="s">
        <v>1372</v>
      </c>
      <c r="D24" s="101">
        <v>43283</v>
      </c>
      <c r="E24" s="101">
        <v>43301</v>
      </c>
      <c r="F24" s="46">
        <f t="shared" si="0"/>
        <v>75000</v>
      </c>
      <c r="G24" s="775">
        <v>1</v>
      </c>
      <c r="H24" s="776">
        <f t="shared" si="1"/>
        <v>0</v>
      </c>
      <c r="I24" s="46">
        <v>75000</v>
      </c>
      <c r="J24" s="101">
        <v>43353</v>
      </c>
      <c r="K24" s="757" t="s">
        <v>1373</v>
      </c>
    </row>
    <row r="25" spans="1:12">
      <c r="A25" s="488" t="s">
        <v>1027</v>
      </c>
      <c r="B25" s="488" t="s">
        <v>113</v>
      </c>
      <c r="C25" s="757" t="s">
        <v>1374</v>
      </c>
      <c r="D25" s="101">
        <v>43283</v>
      </c>
      <c r="E25" s="101">
        <v>43301</v>
      </c>
      <c r="F25" s="46">
        <f t="shared" si="0"/>
        <v>25000</v>
      </c>
      <c r="G25" s="775">
        <v>1</v>
      </c>
      <c r="H25" s="776">
        <f t="shared" si="1"/>
        <v>0</v>
      </c>
      <c r="I25" s="46">
        <v>25000</v>
      </c>
      <c r="J25" s="101">
        <v>43353</v>
      </c>
      <c r="K25" s="757" t="s">
        <v>1375</v>
      </c>
    </row>
    <row r="26" spans="1:12">
      <c r="A26" s="488" t="s">
        <v>1027</v>
      </c>
      <c r="B26" s="488" t="s">
        <v>1367</v>
      </c>
      <c r="C26" s="757" t="s">
        <v>1376</v>
      </c>
      <c r="D26" s="101">
        <v>43283</v>
      </c>
      <c r="E26" s="101">
        <v>43301</v>
      </c>
      <c r="F26" s="46">
        <f t="shared" si="0"/>
        <v>75000</v>
      </c>
      <c r="G26" s="775">
        <v>1</v>
      </c>
      <c r="H26" s="776">
        <f t="shared" si="1"/>
        <v>0</v>
      </c>
      <c r="I26" s="46">
        <v>75000</v>
      </c>
      <c r="J26" s="101">
        <v>43363</v>
      </c>
      <c r="K26" s="757" t="s">
        <v>1377</v>
      </c>
    </row>
    <row r="27" spans="1:12">
      <c r="A27" s="488" t="s">
        <v>1027</v>
      </c>
      <c r="B27" s="488" t="s">
        <v>113</v>
      </c>
      <c r="C27" s="757" t="s">
        <v>1378</v>
      </c>
      <c r="D27" s="101">
        <v>43283</v>
      </c>
      <c r="E27" s="101">
        <v>43301</v>
      </c>
      <c r="F27" s="46">
        <f t="shared" si="0"/>
        <v>25000</v>
      </c>
      <c r="G27" s="775">
        <v>1</v>
      </c>
      <c r="H27" s="776">
        <f t="shared" si="1"/>
        <v>0</v>
      </c>
      <c r="I27" s="46">
        <v>25000</v>
      </c>
      <c r="J27" s="101">
        <v>43363</v>
      </c>
      <c r="K27" s="757" t="s">
        <v>1379</v>
      </c>
    </row>
    <row r="28" spans="1:12">
      <c r="A28" s="488" t="s">
        <v>1027</v>
      </c>
      <c r="B28" s="488" t="s">
        <v>1367</v>
      </c>
      <c r="C28" s="757" t="s">
        <v>1380</v>
      </c>
      <c r="D28" s="101">
        <v>43283</v>
      </c>
      <c r="E28" s="101">
        <v>43301</v>
      </c>
      <c r="F28" s="46">
        <f t="shared" si="0"/>
        <v>75000</v>
      </c>
      <c r="G28" s="775">
        <v>1</v>
      </c>
      <c r="H28" s="776">
        <f t="shared" si="1"/>
        <v>0</v>
      </c>
      <c r="I28" s="46">
        <v>75000</v>
      </c>
      <c r="J28" s="101">
        <v>43383</v>
      </c>
      <c r="K28" s="757" t="s">
        <v>1381</v>
      </c>
    </row>
    <row r="29" spans="1:12">
      <c r="A29" s="488" t="s">
        <v>1027</v>
      </c>
      <c r="B29" s="488" t="s">
        <v>113</v>
      </c>
      <c r="C29" s="757" t="s">
        <v>1382</v>
      </c>
      <c r="D29" s="101">
        <v>43283</v>
      </c>
      <c r="E29" s="101">
        <v>43301</v>
      </c>
      <c r="F29" s="46">
        <f t="shared" si="0"/>
        <v>25000</v>
      </c>
      <c r="G29" s="775">
        <v>1</v>
      </c>
      <c r="H29" s="776">
        <f t="shared" si="1"/>
        <v>0</v>
      </c>
      <c r="I29" s="46">
        <v>25000</v>
      </c>
      <c r="J29" s="101">
        <v>43383</v>
      </c>
      <c r="K29" s="757" t="s">
        <v>1383</v>
      </c>
    </row>
    <row r="30" spans="1:12">
      <c r="A30" s="488" t="s">
        <v>1027</v>
      </c>
      <c r="B30" s="488" t="s">
        <v>1367</v>
      </c>
      <c r="C30" s="757" t="s">
        <v>1384</v>
      </c>
      <c r="D30" s="101">
        <v>43283</v>
      </c>
      <c r="E30" s="101">
        <v>43301</v>
      </c>
      <c r="F30" s="46">
        <f t="shared" si="0"/>
        <v>75000</v>
      </c>
      <c r="G30" s="775">
        <v>1</v>
      </c>
      <c r="H30" s="776">
        <f t="shared" si="1"/>
        <v>0</v>
      </c>
      <c r="I30" s="46">
        <v>75000</v>
      </c>
      <c r="J30" s="101">
        <v>43393</v>
      </c>
      <c r="K30" s="757" t="s">
        <v>1385</v>
      </c>
    </row>
    <row r="31" spans="1:12">
      <c r="A31" s="488" t="s">
        <v>1027</v>
      </c>
      <c r="B31" s="488" t="s">
        <v>113</v>
      </c>
      <c r="C31" s="757" t="s">
        <v>1386</v>
      </c>
      <c r="D31" s="101">
        <v>43283</v>
      </c>
      <c r="E31" s="101">
        <v>43301</v>
      </c>
      <c r="F31" s="46">
        <f t="shared" si="0"/>
        <v>25000</v>
      </c>
      <c r="G31" s="775">
        <v>1</v>
      </c>
      <c r="H31" s="776">
        <f t="shared" si="1"/>
        <v>0</v>
      </c>
      <c r="I31" s="46">
        <v>25000</v>
      </c>
      <c r="J31" s="101">
        <v>43393</v>
      </c>
      <c r="K31" s="757" t="s">
        <v>1387</v>
      </c>
    </row>
  </sheetData>
  <sortState ref="A16:L44">
    <sortCondition ref="J16:J44"/>
  </sortState>
  <mergeCells count="1">
    <mergeCell ref="G1:H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L17"/>
  <sheetViews>
    <sheetView workbookViewId="0">
      <selection activeCell="L26" sqref="L26:L28"/>
    </sheetView>
  </sheetViews>
  <sheetFormatPr baseColWidth="10" defaultRowHeight="15"/>
  <cols>
    <col min="1" max="1" width="5.7109375" style="488" bestFit="1" customWidth="1"/>
    <col min="2" max="2" width="33.28515625" style="488" bestFit="1" customWidth="1"/>
    <col min="3" max="3" width="9" style="488" bestFit="1" customWidth="1"/>
    <col min="4" max="4" width="10.7109375" style="101" bestFit="1" customWidth="1"/>
    <col min="5" max="5" width="11.42578125" style="101" bestFit="1" customWidth="1"/>
    <col min="6" max="6" width="10" style="488" bestFit="1" customWidth="1"/>
    <col min="7" max="7" width="2" style="46" bestFit="1" customWidth="1"/>
    <col min="8" max="8" width="2" style="488" bestFit="1" customWidth="1"/>
    <col min="9" max="9" width="10" style="488" bestFit="1" customWidth="1"/>
    <col min="10" max="10" width="10.7109375" style="101" bestFit="1" customWidth="1"/>
    <col min="11" max="11" width="8.140625" style="488" bestFit="1" customWidth="1"/>
    <col min="12" max="12" width="13.85546875" style="488" bestFit="1" customWidth="1"/>
    <col min="13" max="16384" width="11.42578125" style="488"/>
  </cols>
  <sheetData>
    <row r="1" spans="1:12" s="756" customFormat="1" ht="12.75">
      <c r="A1" s="750" t="s">
        <v>959</v>
      </c>
      <c r="B1" s="750" t="s">
        <v>960</v>
      </c>
      <c r="C1" s="751" t="s">
        <v>961</v>
      </c>
      <c r="D1" s="752" t="s">
        <v>962</v>
      </c>
      <c r="E1" s="752" t="s">
        <v>963</v>
      </c>
      <c r="F1" s="774" t="s">
        <v>964</v>
      </c>
      <c r="G1" s="928" t="s">
        <v>965</v>
      </c>
      <c r="H1" s="928"/>
      <c r="I1" s="754" t="s">
        <v>966</v>
      </c>
      <c r="J1" s="752" t="s">
        <v>10</v>
      </c>
      <c r="K1" s="755" t="s">
        <v>317</v>
      </c>
      <c r="L1" s="755" t="s">
        <v>967</v>
      </c>
    </row>
    <row r="2" spans="1:12">
      <c r="A2" s="488" t="s">
        <v>968</v>
      </c>
      <c r="B2" s="488" t="s">
        <v>1390</v>
      </c>
      <c r="C2" s="757" t="s">
        <v>1391</v>
      </c>
      <c r="D2" s="101">
        <v>43276</v>
      </c>
      <c r="F2" s="46">
        <f t="shared" ref="F2:F17" si="0">SUM(I2*G2)</f>
        <v>421.971</v>
      </c>
      <c r="G2" s="775">
        <v>1</v>
      </c>
      <c r="H2" s="776">
        <f t="shared" ref="H2:H17" si="1">IF(E2="",1,0)</f>
        <v>1</v>
      </c>
      <c r="I2" s="46">
        <v>421.971</v>
      </c>
      <c r="J2" s="101">
        <f t="shared" ref="J2:J7" si="2">D2</f>
        <v>43276</v>
      </c>
      <c r="K2" s="757" t="s">
        <v>1392</v>
      </c>
      <c r="L2" s="814" t="s">
        <v>1042</v>
      </c>
    </row>
    <row r="3" spans="1:12">
      <c r="A3" s="488" t="s">
        <v>968</v>
      </c>
      <c r="B3" s="488" t="s">
        <v>1124</v>
      </c>
      <c r="C3" s="757" t="s">
        <v>1395</v>
      </c>
      <c r="D3" s="101">
        <v>43287</v>
      </c>
      <c r="F3" s="46">
        <f t="shared" si="0"/>
        <v>532.61300000000006</v>
      </c>
      <c r="G3" s="775">
        <v>1</v>
      </c>
      <c r="H3" s="776">
        <f t="shared" si="1"/>
        <v>1</v>
      </c>
      <c r="I3" s="46">
        <v>532.61300000000006</v>
      </c>
      <c r="J3" s="101">
        <f t="shared" si="2"/>
        <v>43287</v>
      </c>
      <c r="K3" s="757" t="s">
        <v>1396</v>
      </c>
      <c r="L3" s="814" t="s">
        <v>1042</v>
      </c>
    </row>
    <row r="4" spans="1:12">
      <c r="A4" s="488" t="s">
        <v>968</v>
      </c>
      <c r="B4" s="488" t="s">
        <v>1010</v>
      </c>
      <c r="C4" s="757" t="s">
        <v>1397</v>
      </c>
      <c r="D4" s="101">
        <v>43293</v>
      </c>
      <c r="F4" s="46">
        <f t="shared" si="0"/>
        <v>409.48599999999999</v>
      </c>
      <c r="G4" s="775">
        <v>1</v>
      </c>
      <c r="H4" s="776">
        <f t="shared" si="1"/>
        <v>1</v>
      </c>
      <c r="I4" s="46">
        <v>409.48599999999999</v>
      </c>
      <c r="J4" s="101">
        <f t="shared" si="2"/>
        <v>43293</v>
      </c>
      <c r="K4" s="757" t="s">
        <v>1398</v>
      </c>
      <c r="L4" s="814" t="s">
        <v>1042</v>
      </c>
    </row>
    <row r="5" spans="1:12">
      <c r="A5" s="488" t="s">
        <v>968</v>
      </c>
      <c r="B5" s="488" t="s">
        <v>1390</v>
      </c>
      <c r="C5" s="757" t="s">
        <v>1399</v>
      </c>
      <c r="D5" s="101">
        <v>43293</v>
      </c>
      <c r="F5" s="46">
        <f t="shared" si="0"/>
        <v>388.005</v>
      </c>
      <c r="G5" s="775">
        <v>1</v>
      </c>
      <c r="H5" s="776">
        <f t="shared" si="1"/>
        <v>1</v>
      </c>
      <c r="I5" s="46">
        <v>388.005</v>
      </c>
      <c r="J5" s="101">
        <f t="shared" si="2"/>
        <v>43293</v>
      </c>
      <c r="K5" s="757" t="s">
        <v>1400</v>
      </c>
      <c r="L5" s="814" t="s">
        <v>1042</v>
      </c>
    </row>
    <row r="6" spans="1:12">
      <c r="A6" s="488" t="s">
        <v>968</v>
      </c>
      <c r="B6" s="488" t="s">
        <v>1094</v>
      </c>
      <c r="C6" s="757" t="s">
        <v>1388</v>
      </c>
      <c r="D6" s="101">
        <v>43243</v>
      </c>
      <c r="E6" s="101">
        <v>43329</v>
      </c>
      <c r="F6" s="46">
        <f t="shared" si="0"/>
        <v>843.64</v>
      </c>
      <c r="G6" s="775">
        <v>1</v>
      </c>
      <c r="H6" s="776">
        <f t="shared" si="1"/>
        <v>0</v>
      </c>
      <c r="I6" s="46">
        <v>843.64</v>
      </c>
      <c r="J6" s="101">
        <f t="shared" si="2"/>
        <v>43243</v>
      </c>
      <c r="K6" s="757" t="s">
        <v>1389</v>
      </c>
      <c r="L6" s="814"/>
    </row>
    <row r="7" spans="1:12">
      <c r="A7" s="488" t="s">
        <v>968</v>
      </c>
      <c r="B7" s="488" t="s">
        <v>1094</v>
      </c>
      <c r="C7" s="757" t="s">
        <v>1393</v>
      </c>
      <c r="D7" s="101">
        <v>43276</v>
      </c>
      <c r="E7" s="101">
        <v>43329</v>
      </c>
      <c r="F7" s="46">
        <f t="shared" si="0"/>
        <v>278.33199999999999</v>
      </c>
      <c r="G7" s="775">
        <v>1</v>
      </c>
      <c r="H7" s="776">
        <f t="shared" si="1"/>
        <v>0</v>
      </c>
      <c r="I7" s="46">
        <v>278.33199999999999</v>
      </c>
      <c r="J7" s="101">
        <f t="shared" si="2"/>
        <v>43276</v>
      </c>
      <c r="K7" s="757" t="s">
        <v>1394</v>
      </c>
      <c r="L7" s="814"/>
    </row>
    <row r="8" spans="1:12">
      <c r="A8" s="488" t="s">
        <v>1027</v>
      </c>
      <c r="B8" s="488" t="s">
        <v>1067</v>
      </c>
      <c r="C8" s="757" t="s">
        <v>1401</v>
      </c>
      <c r="D8" s="101">
        <v>43304</v>
      </c>
      <c r="E8" s="101">
        <v>43327</v>
      </c>
      <c r="F8" s="46">
        <f t="shared" si="0"/>
        <v>517.51800000000003</v>
      </c>
      <c r="G8" s="775">
        <v>1</v>
      </c>
      <c r="H8" s="776">
        <f t="shared" si="1"/>
        <v>0</v>
      </c>
      <c r="I8" s="46">
        <v>517.51800000000003</v>
      </c>
      <c r="J8" s="101">
        <v>43317</v>
      </c>
      <c r="K8" s="757" t="s">
        <v>1402</v>
      </c>
      <c r="L8" s="778"/>
    </row>
    <row r="9" spans="1:12">
      <c r="A9" s="488" t="s">
        <v>1027</v>
      </c>
      <c r="B9" s="488" t="s">
        <v>1209</v>
      </c>
      <c r="C9" s="757" t="s">
        <v>1403</v>
      </c>
      <c r="D9" s="101">
        <v>43304</v>
      </c>
      <c r="E9" s="101">
        <v>43322</v>
      </c>
      <c r="F9" s="46">
        <f t="shared" si="0"/>
        <v>1010.798</v>
      </c>
      <c r="G9" s="775">
        <v>1</v>
      </c>
      <c r="H9" s="776">
        <f t="shared" si="1"/>
        <v>0</v>
      </c>
      <c r="I9" s="46">
        <v>1010.798</v>
      </c>
      <c r="J9" s="101">
        <v>43342</v>
      </c>
      <c r="K9" s="757" t="s">
        <v>1404</v>
      </c>
    </row>
    <row r="10" spans="1:12">
      <c r="A10" s="488" t="s">
        <v>1027</v>
      </c>
      <c r="B10" s="488" t="s">
        <v>1209</v>
      </c>
      <c r="C10" s="757" t="s">
        <v>1405</v>
      </c>
      <c r="D10" s="101">
        <v>43312</v>
      </c>
      <c r="E10" s="101">
        <v>43322</v>
      </c>
      <c r="F10" s="46">
        <f t="shared" si="0"/>
        <v>6147.9840000000004</v>
      </c>
      <c r="G10" s="775">
        <v>1</v>
      </c>
      <c r="H10" s="776">
        <f t="shared" si="1"/>
        <v>0</v>
      </c>
      <c r="I10" s="46">
        <v>6147.9840000000004</v>
      </c>
      <c r="J10" s="101">
        <v>43342</v>
      </c>
      <c r="K10" s="757" t="s">
        <v>1406</v>
      </c>
    </row>
    <row r="11" spans="1:12">
      <c r="A11" s="488" t="s">
        <v>1027</v>
      </c>
      <c r="B11" s="488" t="s">
        <v>1407</v>
      </c>
      <c r="C11" s="757" t="s">
        <v>1408</v>
      </c>
      <c r="D11" s="101">
        <v>43305</v>
      </c>
      <c r="E11" s="101">
        <v>43307</v>
      </c>
      <c r="F11" s="46">
        <f t="shared" si="0"/>
        <v>284.41500000000002</v>
      </c>
      <c r="G11" s="775">
        <v>1</v>
      </c>
      <c r="H11" s="776">
        <f t="shared" si="1"/>
        <v>0</v>
      </c>
      <c r="I11" s="46">
        <v>284.41500000000002</v>
      </c>
      <c r="J11" s="101">
        <v>43342</v>
      </c>
      <c r="K11" s="757" t="s">
        <v>1409</v>
      </c>
    </row>
    <row r="12" spans="1:12">
      <c r="A12" s="488" t="s">
        <v>1027</v>
      </c>
      <c r="B12" s="488" t="s">
        <v>1410</v>
      </c>
      <c r="C12" s="757" t="s">
        <v>1411</v>
      </c>
      <c r="D12" s="101">
        <v>43305</v>
      </c>
      <c r="E12" s="101">
        <v>43307</v>
      </c>
      <c r="F12" s="46">
        <f t="shared" si="0"/>
        <v>124.836</v>
      </c>
      <c r="G12" s="775">
        <v>1</v>
      </c>
      <c r="H12" s="776">
        <f t="shared" si="1"/>
        <v>0</v>
      </c>
      <c r="I12" s="46">
        <v>124.836</v>
      </c>
      <c r="J12" s="101">
        <v>43342</v>
      </c>
      <c r="K12" s="757" t="s">
        <v>1412</v>
      </c>
    </row>
    <row r="13" spans="1:12">
      <c r="A13" s="488" t="s">
        <v>1027</v>
      </c>
      <c r="B13" s="488" t="s">
        <v>1209</v>
      </c>
      <c r="C13" s="757" t="s">
        <v>1413</v>
      </c>
      <c r="D13" s="101">
        <v>43250</v>
      </c>
      <c r="E13" s="101">
        <v>43267</v>
      </c>
      <c r="F13" s="46">
        <f t="shared" si="0"/>
        <v>30489.879000000001</v>
      </c>
      <c r="G13" s="775">
        <v>1</v>
      </c>
      <c r="H13" s="776">
        <f t="shared" si="1"/>
        <v>0</v>
      </c>
      <c r="I13" s="46">
        <v>30489.879000000001</v>
      </c>
      <c r="J13" s="101">
        <v>43343</v>
      </c>
      <c r="K13" s="757" t="s">
        <v>1414</v>
      </c>
    </row>
    <row r="14" spans="1:12">
      <c r="A14" s="488" t="s">
        <v>1027</v>
      </c>
      <c r="B14" s="488" t="s">
        <v>1031</v>
      </c>
      <c r="C14" s="757" t="s">
        <v>1415</v>
      </c>
      <c r="D14" s="101">
        <v>43311</v>
      </c>
      <c r="E14" s="101">
        <v>43322</v>
      </c>
      <c r="F14" s="46">
        <f t="shared" si="0"/>
        <v>411.15</v>
      </c>
      <c r="G14" s="775">
        <v>1</v>
      </c>
      <c r="H14" s="776">
        <f t="shared" si="1"/>
        <v>0</v>
      </c>
      <c r="I14" s="46">
        <v>411.15</v>
      </c>
      <c r="J14" s="101">
        <v>43368</v>
      </c>
      <c r="K14" s="757" t="s">
        <v>1416</v>
      </c>
    </row>
    <row r="15" spans="1:12">
      <c r="A15" s="488" t="s">
        <v>1027</v>
      </c>
      <c r="B15" s="488" t="s">
        <v>1209</v>
      </c>
      <c r="C15" s="757" t="s">
        <v>1417</v>
      </c>
      <c r="D15" s="101">
        <v>43312</v>
      </c>
      <c r="E15" s="101">
        <v>43322</v>
      </c>
      <c r="F15" s="46">
        <f t="shared" si="0"/>
        <v>14775</v>
      </c>
      <c r="G15" s="775">
        <v>1</v>
      </c>
      <c r="H15" s="776">
        <f t="shared" si="1"/>
        <v>0</v>
      </c>
      <c r="I15" s="46">
        <v>14775</v>
      </c>
      <c r="J15" s="101">
        <v>43419</v>
      </c>
      <c r="K15" s="757" t="s">
        <v>1418</v>
      </c>
    </row>
    <row r="16" spans="1:12">
      <c r="A16" s="488" t="s">
        <v>1027</v>
      </c>
      <c r="B16" s="488" t="s">
        <v>1209</v>
      </c>
      <c r="C16" s="757" t="s">
        <v>1419</v>
      </c>
      <c r="D16" s="101">
        <v>43312</v>
      </c>
      <c r="E16" s="101">
        <v>43322</v>
      </c>
      <c r="F16" s="46">
        <f t="shared" si="0"/>
        <v>14775</v>
      </c>
      <c r="G16" s="775">
        <v>1</v>
      </c>
      <c r="H16" s="776">
        <f t="shared" si="1"/>
        <v>0</v>
      </c>
      <c r="I16" s="46">
        <v>14775</v>
      </c>
      <c r="J16" s="101">
        <v>43434</v>
      </c>
      <c r="K16" s="757" t="s">
        <v>1420</v>
      </c>
    </row>
    <row r="17" spans="1:11">
      <c r="A17" s="488" t="s">
        <v>1027</v>
      </c>
      <c r="B17" s="488" t="s">
        <v>1209</v>
      </c>
      <c r="C17" s="757" t="s">
        <v>1421</v>
      </c>
      <c r="D17" s="101">
        <v>43313</v>
      </c>
      <c r="E17" s="101">
        <v>43322</v>
      </c>
      <c r="F17" s="46">
        <f t="shared" si="0"/>
        <v>16867.731</v>
      </c>
      <c r="G17" s="775">
        <v>1</v>
      </c>
      <c r="H17" s="776">
        <f t="shared" si="1"/>
        <v>0</v>
      </c>
      <c r="I17" s="46">
        <v>16867.731</v>
      </c>
      <c r="J17" s="101">
        <v>43449</v>
      </c>
      <c r="K17" s="757" t="s">
        <v>1422</v>
      </c>
    </row>
  </sheetData>
  <sortState ref="A2:L19">
    <sortCondition ref="L2:L19"/>
    <sortCondition ref="J2:J19"/>
  </sortState>
  <mergeCells count="1">
    <mergeCell ref="G1:H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41"/>
  <sheetViews>
    <sheetView workbookViewId="0">
      <selection activeCell="R26" sqref="R26"/>
    </sheetView>
  </sheetViews>
  <sheetFormatPr baseColWidth="10" defaultRowHeight="15"/>
  <cols>
    <col min="1" max="1" width="22.85546875" style="488" bestFit="1" customWidth="1"/>
    <col min="2" max="3" width="9.85546875" style="488" bestFit="1" customWidth="1"/>
    <col min="4" max="4" width="9" style="488" bestFit="1" customWidth="1"/>
    <col min="5" max="5" width="10.140625" style="488" bestFit="1" customWidth="1"/>
    <col min="6" max="6" width="10.42578125" style="488" customWidth="1"/>
    <col min="7" max="7" width="9.85546875" style="488" customWidth="1"/>
    <col min="8" max="8" width="7.42578125" style="488" bestFit="1" customWidth="1"/>
    <col min="9" max="9" width="9.85546875" style="488" bestFit="1" customWidth="1"/>
    <col min="10" max="10" width="10.42578125" style="488" bestFit="1" customWidth="1"/>
    <col min="11" max="11" width="9.42578125" style="488" customWidth="1"/>
    <col min="12" max="12" width="9" style="488" bestFit="1" customWidth="1"/>
    <col min="13" max="13" width="11.7109375" style="488" bestFit="1" customWidth="1"/>
    <col min="14" max="14" width="10.5703125" style="488" bestFit="1" customWidth="1"/>
    <col min="15" max="15" width="0.85546875" style="488" customWidth="1"/>
    <col min="16" max="16" width="10.42578125" style="488" bestFit="1" customWidth="1"/>
    <col min="17" max="16384" width="11.42578125" style="488"/>
  </cols>
  <sheetData>
    <row r="1" spans="1:16" ht="15.75" thickBot="1"/>
    <row r="2" spans="1:16">
      <c r="A2" s="857" t="s">
        <v>190</v>
      </c>
      <c r="B2" s="860" t="s">
        <v>16</v>
      </c>
      <c r="C2" s="929">
        <v>335000</v>
      </c>
      <c r="D2" s="513">
        <v>42898</v>
      </c>
      <c r="E2" s="380">
        <v>71000</v>
      </c>
    </row>
    <row r="3" spans="1:16">
      <c r="A3" s="858"/>
      <c r="B3" s="861"/>
      <c r="C3" s="930"/>
      <c r="D3" s="631">
        <v>42927</v>
      </c>
      <c r="E3" s="381">
        <v>40000</v>
      </c>
    </row>
    <row r="4" spans="1:16">
      <c r="A4" s="858"/>
      <c r="B4" s="861"/>
      <c r="C4" s="930"/>
      <c r="D4" s="631">
        <v>43004</v>
      </c>
      <c r="E4" s="381">
        <v>15000</v>
      </c>
    </row>
    <row r="5" spans="1:16">
      <c r="A5" s="858"/>
      <c r="B5" s="861"/>
      <c r="C5" s="930"/>
      <c r="D5" s="631">
        <v>43006</v>
      </c>
      <c r="E5" s="381">
        <v>16000</v>
      </c>
    </row>
    <row r="6" spans="1:16">
      <c r="A6" s="858"/>
      <c r="B6" s="861"/>
      <c r="C6" s="930"/>
      <c r="D6" s="631">
        <v>43020</v>
      </c>
      <c r="E6" s="381">
        <v>25000</v>
      </c>
    </row>
    <row r="7" spans="1:16">
      <c r="A7" s="859"/>
      <c r="B7" s="862"/>
      <c r="C7" s="931"/>
      <c r="D7" s="631">
        <v>43208</v>
      </c>
      <c r="E7" s="381">
        <v>45000</v>
      </c>
    </row>
    <row r="8" spans="1:16">
      <c r="A8" s="288" t="s">
        <v>190</v>
      </c>
      <c r="B8" s="307" t="s">
        <v>16</v>
      </c>
      <c r="C8" s="308">
        <f>65000</f>
        <v>65000</v>
      </c>
      <c r="D8" s="631">
        <v>43189</v>
      </c>
      <c r="E8" s="381">
        <v>59500</v>
      </c>
    </row>
    <row r="9" spans="1:16">
      <c r="A9" s="288"/>
      <c r="B9" s="307"/>
      <c r="C9" s="308"/>
      <c r="D9" s="631"/>
      <c r="E9" s="381"/>
    </row>
    <row r="10" spans="1:16" ht="15.75" thickBot="1">
      <c r="A10" s="194" t="s">
        <v>190</v>
      </c>
      <c r="B10" s="282" t="s">
        <v>16</v>
      </c>
      <c r="C10" s="195">
        <f>14477.06+837.73</f>
        <v>15314.789999999999</v>
      </c>
      <c r="D10" s="514"/>
      <c r="E10" s="294"/>
    </row>
    <row r="11" spans="1:16" ht="15.75" thickBot="1">
      <c r="A11" s="710" t="s">
        <v>77</v>
      </c>
      <c r="B11" s="711"/>
      <c r="C11" s="323">
        <f>SUM(C2:C10)</f>
        <v>415314.79</v>
      </c>
      <c r="D11" s="44"/>
      <c r="E11" s="323">
        <f>SUM(E2:E10)</f>
        <v>271500</v>
      </c>
    </row>
    <row r="12" spans="1:16" ht="15.75" thickBot="1"/>
    <row r="13" spans="1:16" ht="15.75" thickBot="1">
      <c r="A13" s="932" t="s">
        <v>45</v>
      </c>
      <c r="B13" s="933"/>
      <c r="C13" s="933"/>
      <c r="D13" s="933"/>
      <c r="E13" s="933"/>
      <c r="F13" s="933"/>
      <c r="G13" s="933"/>
      <c r="H13" s="933"/>
      <c r="I13" s="933"/>
      <c r="J13" s="933"/>
      <c r="K13" s="933"/>
      <c r="L13" s="933"/>
      <c r="M13" s="934"/>
    </row>
    <row r="14" spans="1:16" ht="15.75" thickBot="1">
      <c r="A14" s="893" t="s">
        <v>0</v>
      </c>
      <c r="B14" s="895" t="s">
        <v>1</v>
      </c>
      <c r="C14" s="895"/>
      <c r="D14" s="895"/>
      <c r="E14" s="895"/>
      <c r="F14" s="895"/>
      <c r="G14" s="895"/>
      <c r="H14" s="896" t="s">
        <v>2</v>
      </c>
      <c r="I14" s="896"/>
      <c r="J14" s="896"/>
      <c r="K14" s="896" t="s">
        <v>3</v>
      </c>
      <c r="L14" s="896"/>
      <c r="M14" s="893" t="s">
        <v>4</v>
      </c>
    </row>
    <row r="15" spans="1:16" ht="15.75" thickBot="1">
      <c r="A15" s="894"/>
      <c r="B15" s="712" t="s">
        <v>5</v>
      </c>
      <c r="C15" s="712" t="s">
        <v>6</v>
      </c>
      <c r="D15" s="712" t="s">
        <v>7</v>
      </c>
      <c r="E15" s="29" t="s">
        <v>8</v>
      </c>
      <c r="F15" s="28" t="s">
        <v>9</v>
      </c>
      <c r="G15" s="713" t="s">
        <v>10</v>
      </c>
      <c r="H15" s="28" t="s">
        <v>11</v>
      </c>
      <c r="I15" s="712" t="s">
        <v>12</v>
      </c>
      <c r="J15" s="713" t="s">
        <v>13</v>
      </c>
      <c r="K15" s="29" t="s">
        <v>11</v>
      </c>
      <c r="L15" s="30" t="s">
        <v>14</v>
      </c>
      <c r="M15" s="894"/>
      <c r="N15" s="488" t="s">
        <v>302</v>
      </c>
      <c r="P15" s="488" t="s">
        <v>314</v>
      </c>
    </row>
    <row r="16" spans="1:16">
      <c r="A16" s="61" t="s">
        <v>257</v>
      </c>
      <c r="B16" s="62" t="s">
        <v>268</v>
      </c>
      <c r="C16" s="63">
        <v>43147</v>
      </c>
      <c r="D16" s="67" t="s">
        <v>16</v>
      </c>
      <c r="E16" s="64">
        <v>73120.639999999999</v>
      </c>
      <c r="F16" s="65">
        <f>+E16*2.9473</f>
        <v>215508.46227199998</v>
      </c>
      <c r="G16" s="66">
        <f t="shared" ref="G16:G20" si="0">+C16+60</f>
        <v>43207</v>
      </c>
      <c r="H16" s="236"/>
      <c r="I16" s="67"/>
      <c r="J16" s="235"/>
      <c r="K16" s="69">
        <v>70000</v>
      </c>
      <c r="L16" s="68"/>
      <c r="M16" s="292">
        <f t="shared" ref="M16:M20" si="1">E16-K16</f>
        <v>3120.6399999999994</v>
      </c>
      <c r="N16" s="64">
        <v>95143.039999999994</v>
      </c>
      <c r="P16" s="102">
        <f>E16-N16</f>
        <v>-22022.399999999994</v>
      </c>
    </row>
    <row r="17" spans="1:17">
      <c r="A17" s="61" t="s">
        <v>270</v>
      </c>
      <c r="B17" s="62" t="s">
        <v>271</v>
      </c>
      <c r="C17" s="63">
        <v>43174</v>
      </c>
      <c r="D17" s="67" t="s">
        <v>16</v>
      </c>
      <c r="E17" s="64">
        <v>74078.350000000006</v>
      </c>
      <c r="F17" s="65">
        <f>+E17*2.9419</f>
        <v>217931.09786500002</v>
      </c>
      <c r="G17" s="66">
        <f t="shared" si="0"/>
        <v>43234</v>
      </c>
      <c r="H17" s="236"/>
      <c r="I17" s="67"/>
      <c r="J17" s="235"/>
      <c r="K17" s="69"/>
      <c r="L17" s="68"/>
      <c r="M17" s="292">
        <f t="shared" si="1"/>
        <v>74078.350000000006</v>
      </c>
      <c r="N17" s="64">
        <v>89078.35</v>
      </c>
      <c r="P17" s="102">
        <f t="shared" ref="P17:P18" si="2">E17-N17</f>
        <v>-15000</v>
      </c>
    </row>
    <row r="18" spans="1:17">
      <c r="A18" s="61" t="s">
        <v>270</v>
      </c>
      <c r="B18" s="62" t="s">
        <v>280</v>
      </c>
      <c r="C18" s="63">
        <v>43213</v>
      </c>
      <c r="D18" s="67" t="s">
        <v>16</v>
      </c>
      <c r="E18" s="64">
        <v>70110.52</v>
      </c>
      <c r="F18" s="65">
        <f>+E18*2.95395</f>
        <v>207102.970554</v>
      </c>
      <c r="G18" s="66">
        <f t="shared" si="0"/>
        <v>43273</v>
      </c>
      <c r="H18" s="236"/>
      <c r="I18" s="67"/>
      <c r="J18" s="235"/>
      <c r="K18" s="69"/>
      <c r="L18" s="68"/>
      <c r="M18" s="292">
        <f t="shared" si="1"/>
        <v>70110.52</v>
      </c>
      <c r="N18" s="64">
        <v>80110.509999999995</v>
      </c>
      <c r="P18" s="102">
        <f t="shared" si="2"/>
        <v>-9999.9899999999907</v>
      </c>
    </row>
    <row r="19" spans="1:17">
      <c r="A19" s="61" t="s">
        <v>270</v>
      </c>
      <c r="B19" s="62" t="s">
        <v>296</v>
      </c>
      <c r="C19" s="63">
        <v>43235</v>
      </c>
      <c r="D19" s="67" t="s">
        <v>16</v>
      </c>
      <c r="E19" s="64">
        <v>59539.5</v>
      </c>
      <c r="F19" s="65">
        <f>E19*2.97945</f>
        <v>177394.96327499999</v>
      </c>
      <c r="G19" s="66">
        <f t="shared" si="0"/>
        <v>43295</v>
      </c>
      <c r="H19" s="236"/>
      <c r="I19" s="67"/>
      <c r="J19" s="235"/>
      <c r="K19" s="69"/>
      <c r="L19" s="68"/>
      <c r="M19" s="292">
        <f t="shared" si="1"/>
        <v>59539.5</v>
      </c>
      <c r="N19" s="737"/>
      <c r="P19" s="102"/>
    </row>
    <row r="20" spans="1:17">
      <c r="A20" s="61" t="s">
        <v>270</v>
      </c>
      <c r="B20" s="62" t="s">
        <v>298</v>
      </c>
      <c r="C20" s="63">
        <v>43243</v>
      </c>
      <c r="D20" s="67" t="s">
        <v>16</v>
      </c>
      <c r="E20" s="64">
        <v>64244.86</v>
      </c>
      <c r="F20" s="65">
        <f>+E20*2.97525</f>
        <v>191144.519715</v>
      </c>
      <c r="G20" s="66">
        <f t="shared" si="0"/>
        <v>43303</v>
      </c>
      <c r="H20" s="236"/>
      <c r="I20" s="67"/>
      <c r="J20" s="235"/>
      <c r="K20" s="69"/>
      <c r="L20" s="68"/>
      <c r="M20" s="292">
        <f t="shared" si="1"/>
        <v>64244.86</v>
      </c>
      <c r="N20" s="737"/>
      <c r="P20" s="102"/>
    </row>
    <row r="21" spans="1:17" s="71" customFormat="1" ht="12.75">
      <c r="A21" s="61" t="s">
        <v>270</v>
      </c>
      <c r="B21" s="62" t="s">
        <v>306</v>
      </c>
      <c r="C21" s="63">
        <v>43262</v>
      </c>
      <c r="D21" s="67" t="s">
        <v>16</v>
      </c>
      <c r="E21" s="64">
        <v>62886.3</v>
      </c>
      <c r="F21" s="65">
        <v>189416.67991500002</v>
      </c>
      <c r="G21" s="66">
        <v>43322</v>
      </c>
      <c r="H21" s="236"/>
      <c r="I21" s="67"/>
      <c r="J21" s="235"/>
      <c r="K21" s="69"/>
      <c r="L21" s="68"/>
      <c r="M21" s="292">
        <v>62886.3</v>
      </c>
      <c r="N21" s="311"/>
      <c r="O21" s="59"/>
      <c r="Q21" s="534"/>
    </row>
    <row r="22" spans="1:17" s="71" customFormat="1" ht="12.75">
      <c r="A22" s="61" t="s">
        <v>270</v>
      </c>
      <c r="B22" s="62" t="s">
        <v>309</v>
      </c>
      <c r="C22" s="63">
        <v>43291</v>
      </c>
      <c r="D22" s="67" t="s">
        <v>16</v>
      </c>
      <c r="E22" s="64">
        <v>70446.11</v>
      </c>
      <c r="F22" s="65">
        <v>216417.494531</v>
      </c>
      <c r="G22" s="66">
        <v>43351</v>
      </c>
      <c r="H22" s="236"/>
      <c r="I22" s="67"/>
      <c r="J22" s="235"/>
      <c r="K22" s="69"/>
      <c r="L22" s="68"/>
      <c r="M22" s="292">
        <v>70446.11</v>
      </c>
      <c r="N22" s="311"/>
      <c r="O22" s="59"/>
      <c r="Q22" s="534"/>
    </row>
    <row r="23" spans="1:17">
      <c r="A23" s="61"/>
      <c r="B23" s="62"/>
      <c r="C23" s="63"/>
      <c r="D23" s="67"/>
      <c r="E23" s="64"/>
      <c r="F23" s="65"/>
      <c r="G23" s="66"/>
      <c r="H23" s="236"/>
      <c r="I23" s="67"/>
      <c r="J23" s="235"/>
      <c r="K23" s="69"/>
      <c r="L23" s="68"/>
      <c r="M23" s="292"/>
      <c r="N23" s="737"/>
      <c r="P23" s="102"/>
    </row>
    <row r="24" spans="1:17" ht="15.75" thickBot="1">
      <c r="A24" s="72"/>
      <c r="B24" s="73"/>
      <c r="C24" s="74"/>
      <c r="D24" s="74"/>
      <c r="E24" s="75"/>
      <c r="F24" s="76"/>
      <c r="G24" s="77"/>
      <c r="H24" s="78"/>
      <c r="I24" s="74"/>
      <c r="J24" s="79"/>
      <c r="K24" s="80"/>
      <c r="L24" s="79"/>
      <c r="M24" s="309"/>
    </row>
    <row r="25" spans="1:17" ht="15.75" thickBot="1">
      <c r="A25" s="1"/>
      <c r="B25" s="1"/>
      <c r="C25" s="1"/>
      <c r="D25" s="1"/>
      <c r="E25" s="2"/>
      <c r="F25" s="3"/>
      <c r="G25" s="284"/>
      <c r="H25" s="3"/>
      <c r="I25" s="1"/>
      <c r="J25" s="1"/>
      <c r="K25" s="2"/>
      <c r="L25" s="1"/>
      <c r="M25" s="1"/>
    </row>
    <row r="26" spans="1:17" ht="15.75" thickBot="1">
      <c r="A26" s="935" t="s">
        <v>197</v>
      </c>
      <c r="B26" s="936"/>
      <c r="C26" s="936"/>
      <c r="D26" s="936"/>
      <c r="E26" s="936"/>
      <c r="F26" s="936"/>
      <c r="G26" s="936"/>
      <c r="H26" s="936"/>
      <c r="I26" s="936"/>
      <c r="J26" s="936"/>
      <c r="K26" s="936"/>
      <c r="L26" s="936"/>
      <c r="M26" s="937"/>
    </row>
    <row r="27" spans="1:17" ht="15.75" thickBot="1">
      <c r="A27" s="897" t="s">
        <v>0</v>
      </c>
      <c r="B27" s="895" t="s">
        <v>1</v>
      </c>
      <c r="C27" s="895"/>
      <c r="D27" s="895"/>
      <c r="E27" s="895"/>
      <c r="F27" s="895"/>
      <c r="G27" s="895"/>
      <c r="H27" s="896" t="s">
        <v>2</v>
      </c>
      <c r="I27" s="896"/>
      <c r="J27" s="896"/>
      <c r="K27" s="896" t="s">
        <v>3</v>
      </c>
      <c r="L27" s="896"/>
      <c r="M27" s="897" t="s">
        <v>4</v>
      </c>
    </row>
    <row r="28" spans="1:17" ht="15.75" thickBot="1">
      <c r="A28" s="897"/>
      <c r="B28" s="712" t="s">
        <v>5</v>
      </c>
      <c r="C28" s="712" t="s">
        <v>6</v>
      </c>
      <c r="D28" s="712" t="s">
        <v>7</v>
      </c>
      <c r="E28" s="29" t="s">
        <v>8</v>
      </c>
      <c r="F28" s="28" t="s">
        <v>9</v>
      </c>
      <c r="G28" s="713" t="s">
        <v>10</v>
      </c>
      <c r="H28" s="28" t="s">
        <v>11</v>
      </c>
      <c r="I28" s="712" t="s">
        <v>12</v>
      </c>
      <c r="J28" s="713" t="s">
        <v>13</v>
      </c>
      <c r="K28" s="29" t="s">
        <v>11</v>
      </c>
      <c r="L28" s="713" t="s">
        <v>14</v>
      </c>
      <c r="M28" s="897"/>
    </row>
    <row r="29" spans="1:17">
      <c r="A29" s="371" t="s">
        <v>197</v>
      </c>
      <c r="B29" s="314" t="s">
        <v>213</v>
      </c>
      <c r="C29" s="372">
        <v>42965</v>
      </c>
      <c r="D29" s="373" t="s">
        <v>16</v>
      </c>
      <c r="E29" s="374">
        <v>15050</v>
      </c>
      <c r="F29" s="315">
        <f>+E29*2.80865</f>
        <v>42270.182500000003</v>
      </c>
      <c r="G29" s="375">
        <f t="shared" ref="G29:G34" si="3">+C29+60</f>
        <v>43025</v>
      </c>
      <c r="H29" s="376"/>
      <c r="I29" s="372"/>
      <c r="J29" s="375"/>
      <c r="K29" s="377"/>
      <c r="L29" s="378"/>
      <c r="M29" s="379">
        <f t="shared" ref="M29:M34" si="4">E29-K29</f>
        <v>15050</v>
      </c>
    </row>
    <row r="30" spans="1:17">
      <c r="A30" s="371" t="s">
        <v>197</v>
      </c>
      <c r="B30" s="314" t="s">
        <v>215</v>
      </c>
      <c r="C30" s="372">
        <v>42977</v>
      </c>
      <c r="D30" s="373" t="s">
        <v>16</v>
      </c>
      <c r="E30" s="374">
        <v>30250</v>
      </c>
      <c r="F30" s="315">
        <f>+E30*2.889</f>
        <v>87392.25</v>
      </c>
      <c r="G30" s="375">
        <f t="shared" si="3"/>
        <v>43037</v>
      </c>
      <c r="H30" s="376"/>
      <c r="I30" s="372"/>
      <c r="J30" s="375"/>
      <c r="K30" s="377"/>
      <c r="L30" s="378"/>
      <c r="M30" s="379">
        <f t="shared" si="4"/>
        <v>30250</v>
      </c>
    </row>
    <row r="31" spans="1:17">
      <c r="A31" s="371" t="s">
        <v>197</v>
      </c>
      <c r="B31" s="314" t="s">
        <v>217</v>
      </c>
      <c r="C31" s="372">
        <v>42992</v>
      </c>
      <c r="D31" s="373" t="s">
        <v>16</v>
      </c>
      <c r="E31" s="374">
        <v>34946.269999999997</v>
      </c>
      <c r="F31" s="315">
        <f>+E31*2.899</f>
        <v>101309.23672999999</v>
      </c>
      <c r="G31" s="375">
        <f t="shared" si="3"/>
        <v>43052</v>
      </c>
      <c r="H31" s="376"/>
      <c r="I31" s="372"/>
      <c r="J31" s="375"/>
      <c r="K31" s="377"/>
      <c r="L31" s="378"/>
      <c r="M31" s="379">
        <f t="shared" si="4"/>
        <v>34946.269999999997</v>
      </c>
    </row>
    <row r="32" spans="1:17">
      <c r="A32" s="371" t="s">
        <v>197</v>
      </c>
      <c r="B32" s="314" t="s">
        <v>220</v>
      </c>
      <c r="C32" s="372">
        <v>43006</v>
      </c>
      <c r="D32" s="373" t="s">
        <v>16</v>
      </c>
      <c r="E32" s="374">
        <v>44550</v>
      </c>
      <c r="F32" s="315">
        <f>+E32*2.893</f>
        <v>128883.15</v>
      </c>
      <c r="G32" s="375">
        <f t="shared" si="3"/>
        <v>43066</v>
      </c>
      <c r="H32" s="376"/>
      <c r="I32" s="372"/>
      <c r="J32" s="375"/>
      <c r="K32" s="377"/>
      <c r="L32" s="378"/>
      <c r="M32" s="379">
        <f t="shared" si="4"/>
        <v>44550</v>
      </c>
    </row>
    <row r="33" spans="1:13">
      <c r="A33" s="371" t="s">
        <v>197</v>
      </c>
      <c r="B33" s="314" t="s">
        <v>223</v>
      </c>
      <c r="C33" s="372">
        <v>43019</v>
      </c>
      <c r="D33" s="373" t="s">
        <v>16</v>
      </c>
      <c r="E33" s="374">
        <v>27337.5</v>
      </c>
      <c r="F33" s="315">
        <f>+E33*2.9093</f>
        <v>79532.988750000004</v>
      </c>
      <c r="G33" s="375">
        <f t="shared" si="3"/>
        <v>43079</v>
      </c>
      <c r="H33" s="376"/>
      <c r="I33" s="372"/>
      <c r="J33" s="375"/>
      <c r="K33" s="377"/>
      <c r="L33" s="378"/>
      <c r="M33" s="379">
        <f t="shared" si="4"/>
        <v>27337.5</v>
      </c>
    </row>
    <row r="34" spans="1:13">
      <c r="A34" s="371" t="s">
        <v>197</v>
      </c>
      <c r="B34" s="314" t="s">
        <v>229</v>
      </c>
      <c r="C34" s="372">
        <v>43034</v>
      </c>
      <c r="D34" s="373" t="s">
        <v>16</v>
      </c>
      <c r="E34" s="374">
        <v>15386.35</v>
      </c>
      <c r="F34" s="315">
        <f>+E34*2.9096</f>
        <v>44768.123960000004</v>
      </c>
      <c r="G34" s="375">
        <f t="shared" si="3"/>
        <v>43094</v>
      </c>
      <c r="H34" s="376"/>
      <c r="I34" s="372"/>
      <c r="J34" s="375"/>
      <c r="K34" s="377"/>
      <c r="L34" s="378"/>
      <c r="M34" s="379">
        <f t="shared" si="4"/>
        <v>15386.35</v>
      </c>
    </row>
    <row r="35" spans="1:13" ht="15.75" thickBot="1">
      <c r="A35" s="9"/>
      <c r="B35" s="10"/>
      <c r="C35" s="11"/>
      <c r="D35" s="12"/>
      <c r="E35" s="13"/>
      <c r="F35" s="14"/>
      <c r="G35" s="15"/>
      <c r="H35" s="16"/>
      <c r="I35" s="11"/>
      <c r="J35" s="15"/>
      <c r="K35" s="17"/>
      <c r="L35" s="18"/>
      <c r="M35" s="19"/>
    </row>
    <row r="36" spans="1:13" ht="15.75" thickBot="1">
      <c r="A36" s="1"/>
      <c r="B36" s="1"/>
      <c r="C36" s="1"/>
      <c r="D36" s="1"/>
      <c r="E36" s="2"/>
      <c r="F36" s="3"/>
      <c r="G36" s="283"/>
      <c r="H36" s="3"/>
      <c r="I36" s="1"/>
      <c r="J36" s="1"/>
      <c r="K36" s="2"/>
      <c r="L36" s="1"/>
      <c r="M36" s="1"/>
    </row>
    <row r="37" spans="1:13" ht="15.75" thickBot="1">
      <c r="A37" s="1"/>
      <c r="B37" s="738" t="s">
        <v>47</v>
      </c>
      <c r="C37" s="3"/>
      <c r="D37" s="1"/>
      <c r="E37" s="3"/>
      <c r="F37" s="1"/>
      <c r="G37" s="1"/>
      <c r="H37" s="2"/>
      <c r="I37" s="1"/>
      <c r="J37" s="1"/>
    </row>
    <row r="38" spans="1:13">
      <c r="A38" s="739" t="s">
        <v>257</v>
      </c>
      <c r="B38" s="740">
        <f>M16</f>
        <v>3120.6399999999994</v>
      </c>
      <c r="C38" s="3"/>
      <c r="D38" s="1"/>
      <c r="E38" s="3"/>
      <c r="F38" s="1"/>
      <c r="G38" s="1"/>
      <c r="H38" s="2"/>
      <c r="I38" s="1"/>
      <c r="J38" s="1"/>
    </row>
    <row r="39" spans="1:13">
      <c r="A39" s="741" t="s">
        <v>273</v>
      </c>
      <c r="B39" s="742">
        <f>+E17+E18+E19+E20+E21+E22</f>
        <v>401305.63999999996</v>
      </c>
      <c r="C39" s="3"/>
      <c r="D39" s="1"/>
      <c r="E39" s="3"/>
      <c r="F39" s="1"/>
      <c r="G39" s="1"/>
      <c r="H39" s="2"/>
      <c r="I39" s="1"/>
      <c r="J39" s="1"/>
    </row>
    <row r="40" spans="1:13" ht="15.75" thickBot="1">
      <c r="A40" s="743" t="s">
        <v>190</v>
      </c>
      <c r="B40" s="744">
        <f>M29+M30+M31+M32+M33+M34</f>
        <v>167520.12</v>
      </c>
      <c r="C40" s="3"/>
      <c r="D40" s="1"/>
      <c r="E40" s="3"/>
      <c r="F40" s="1"/>
      <c r="G40" s="1"/>
      <c r="H40" s="2"/>
      <c r="I40" s="1"/>
      <c r="J40" s="1"/>
    </row>
    <row r="41" spans="1:13" ht="15.75" thickBot="1">
      <c r="A41" s="1"/>
      <c r="B41" s="745">
        <f>SUM(B38:B40)</f>
        <v>571946.39999999991</v>
      </c>
      <c r="C41" s="3"/>
      <c r="D41" s="1"/>
      <c r="E41" s="3"/>
      <c r="F41" s="1"/>
      <c r="G41" s="1"/>
      <c r="H41" s="2"/>
      <c r="I41" s="1"/>
      <c r="J41" s="1"/>
    </row>
  </sheetData>
  <mergeCells count="15">
    <mergeCell ref="A26:M26"/>
    <mergeCell ref="A27:A28"/>
    <mergeCell ref="B27:G27"/>
    <mergeCell ref="H27:J27"/>
    <mergeCell ref="K27:L27"/>
    <mergeCell ref="M27:M28"/>
    <mergeCell ref="A2:A7"/>
    <mergeCell ref="B2:B7"/>
    <mergeCell ref="C2:C7"/>
    <mergeCell ref="A13:M13"/>
    <mergeCell ref="A14:A15"/>
    <mergeCell ref="B14:G14"/>
    <mergeCell ref="H14:J14"/>
    <mergeCell ref="K14:L14"/>
    <mergeCell ref="M14:M15"/>
  </mergeCells>
  <pageMargins left="0.70866141732283472" right="0.70866141732283472" top="0.74803149606299213" bottom="0.74803149606299213" header="0.31496062992125984" footer="0.31496062992125984"/>
  <pageSetup paperSize="9" scale="82" orientation="landscape" horizontalDpi="180" verticalDpi="180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H31"/>
  <sheetViews>
    <sheetView workbookViewId="0">
      <selection activeCell="L34" sqref="L34"/>
    </sheetView>
  </sheetViews>
  <sheetFormatPr baseColWidth="10" defaultRowHeight="15"/>
  <cols>
    <col min="1" max="1" width="9" style="733" bestFit="1" customWidth="1"/>
    <col min="2" max="2" width="17" style="733" bestFit="1" customWidth="1"/>
    <col min="3" max="3" width="3.42578125" style="733" bestFit="1" customWidth="1"/>
    <col min="4" max="4" width="7.85546875" style="733" bestFit="1" customWidth="1"/>
    <col min="5" max="5" width="5.7109375" style="733" bestFit="1" customWidth="1"/>
    <col min="6" max="7" width="8.7109375" style="733" bestFit="1" customWidth="1"/>
    <col min="8" max="8" width="9.5703125" style="733" bestFit="1" customWidth="1"/>
    <col min="9" max="16384" width="11.42578125" style="733"/>
  </cols>
  <sheetData>
    <row r="1" spans="1:8" ht="15.75" thickBot="1">
      <c r="A1" s="938" t="s">
        <v>2452</v>
      </c>
      <c r="B1" s="938"/>
      <c r="C1" s="938"/>
      <c r="D1" s="938"/>
      <c r="E1" s="938"/>
      <c r="F1" s="938"/>
      <c r="G1" s="938"/>
      <c r="H1" s="938"/>
    </row>
    <row r="2" spans="1:8" ht="15.75" thickBot="1">
      <c r="A2" s="836">
        <v>43278</v>
      </c>
      <c r="B2" s="837" t="s">
        <v>267</v>
      </c>
      <c r="C2" s="838" t="s">
        <v>182</v>
      </c>
      <c r="D2" s="839">
        <v>32800</v>
      </c>
      <c r="E2" s="840">
        <v>1.45</v>
      </c>
      <c r="F2" s="840">
        <f t="shared" ref="F2:F31" si="0">+D2*E2</f>
        <v>47560</v>
      </c>
      <c r="G2" s="840">
        <f t="shared" ref="G2:G31" si="1">+F2*0.19</f>
        <v>9036.4</v>
      </c>
      <c r="H2" s="841">
        <f>+F2+G2</f>
        <v>56596.4</v>
      </c>
    </row>
    <row r="3" spans="1:8" ht="6" customHeight="1" thickBot="1">
      <c r="A3" s="835"/>
      <c r="B3" s="293"/>
      <c r="C3" s="422"/>
      <c r="D3" s="423"/>
      <c r="E3" s="304"/>
      <c r="F3" s="304"/>
      <c r="G3" s="304"/>
      <c r="H3" s="304"/>
    </row>
    <row r="4" spans="1:8" ht="15.75" thickBot="1">
      <c r="A4" s="836">
        <v>43328</v>
      </c>
      <c r="B4" s="837" t="s">
        <v>267</v>
      </c>
      <c r="C4" s="838" t="s">
        <v>182</v>
      </c>
      <c r="D4" s="839">
        <v>32860</v>
      </c>
      <c r="E4" s="840">
        <v>1.45</v>
      </c>
      <c r="F4" s="840">
        <f t="shared" si="0"/>
        <v>47647</v>
      </c>
      <c r="G4" s="840">
        <f t="shared" si="1"/>
        <v>9052.93</v>
      </c>
      <c r="H4" s="841">
        <f>+F4+G4</f>
        <v>56699.93</v>
      </c>
    </row>
    <row r="5" spans="1:8" ht="6" customHeight="1" thickBot="1">
      <c r="A5" s="835"/>
      <c r="B5" s="293"/>
      <c r="C5" s="422"/>
      <c r="D5" s="423"/>
      <c r="E5" s="304"/>
      <c r="F5" s="304"/>
      <c r="G5" s="304"/>
      <c r="H5" s="304"/>
    </row>
    <row r="6" spans="1:8" ht="15.75" thickBot="1">
      <c r="A6" s="836">
        <v>43287</v>
      </c>
      <c r="B6" s="837" t="s">
        <v>191</v>
      </c>
      <c r="C6" s="838" t="s">
        <v>182</v>
      </c>
      <c r="D6" s="839">
        <v>43160</v>
      </c>
      <c r="E6" s="840">
        <v>1.7</v>
      </c>
      <c r="F6" s="840">
        <f t="shared" si="0"/>
        <v>73372</v>
      </c>
      <c r="G6" s="840">
        <f t="shared" si="1"/>
        <v>13940.68</v>
      </c>
      <c r="H6" s="841">
        <f>+F6+G6</f>
        <v>87312.68</v>
      </c>
    </row>
    <row r="7" spans="1:8" ht="6" customHeight="1" thickBot="1">
      <c r="A7" s="835"/>
      <c r="B7" s="293"/>
      <c r="C7" s="422"/>
      <c r="D7" s="423"/>
      <c r="E7" s="304"/>
      <c r="F7" s="304"/>
      <c r="G7" s="304"/>
      <c r="H7" s="304"/>
    </row>
    <row r="8" spans="1:8" ht="15.75" thickBot="1">
      <c r="A8" s="836">
        <v>43328</v>
      </c>
      <c r="B8" s="837" t="s">
        <v>191</v>
      </c>
      <c r="C8" s="838" t="s">
        <v>182</v>
      </c>
      <c r="D8" s="839">
        <v>37100</v>
      </c>
      <c r="E8" s="840">
        <v>1.7</v>
      </c>
      <c r="F8" s="840">
        <f t="shared" si="0"/>
        <v>63070</v>
      </c>
      <c r="G8" s="840">
        <f t="shared" si="1"/>
        <v>11983.3</v>
      </c>
      <c r="H8" s="841">
        <f>+F8+G8</f>
        <v>75053.3</v>
      </c>
    </row>
    <row r="9" spans="1:8" ht="6" customHeight="1" thickBot="1">
      <c r="A9" s="835"/>
      <c r="B9" s="293"/>
      <c r="C9" s="422"/>
      <c r="D9" s="423"/>
      <c r="E9" s="304"/>
      <c r="F9" s="304"/>
      <c r="G9" s="304"/>
      <c r="H9" s="304"/>
    </row>
    <row r="10" spans="1:8" ht="15.75" thickBot="1">
      <c r="A10" s="836">
        <v>43297</v>
      </c>
      <c r="B10" s="837" t="s">
        <v>183</v>
      </c>
      <c r="C10" s="838" t="s">
        <v>182</v>
      </c>
      <c r="D10" s="839">
        <v>2423</v>
      </c>
      <c r="E10" s="840">
        <v>33</v>
      </c>
      <c r="F10" s="840">
        <f t="shared" si="0"/>
        <v>79959</v>
      </c>
      <c r="G10" s="840">
        <f t="shared" si="1"/>
        <v>15192.210000000001</v>
      </c>
      <c r="H10" s="841">
        <f>+F10+G10</f>
        <v>95151.21</v>
      </c>
    </row>
    <row r="11" spans="1:8" ht="6" customHeight="1" thickBot="1">
      <c r="A11" s="835"/>
      <c r="B11" s="293"/>
      <c r="C11" s="422"/>
      <c r="D11" s="423"/>
      <c r="E11" s="304"/>
      <c r="F11" s="304"/>
      <c r="G11" s="304"/>
      <c r="H11" s="304"/>
    </row>
    <row r="12" spans="1:8">
      <c r="A12" s="842">
        <v>43315</v>
      </c>
      <c r="B12" s="843" t="s">
        <v>183</v>
      </c>
      <c r="C12" s="844" t="s">
        <v>182</v>
      </c>
      <c r="D12" s="845">
        <v>2926</v>
      </c>
      <c r="E12" s="846">
        <v>33</v>
      </c>
      <c r="F12" s="846">
        <f t="shared" si="0"/>
        <v>96558</v>
      </c>
      <c r="G12" s="846">
        <f t="shared" si="1"/>
        <v>18346.02</v>
      </c>
      <c r="H12" s="847">
        <f>+F12+G12</f>
        <v>114904.02</v>
      </c>
    </row>
    <row r="13" spans="1:8" ht="15.75" thickBot="1">
      <c r="A13" s="654">
        <v>43326</v>
      </c>
      <c r="B13" s="648" t="s">
        <v>183</v>
      </c>
      <c r="C13" s="649" t="s">
        <v>182</v>
      </c>
      <c r="D13" s="650">
        <v>2006</v>
      </c>
      <c r="E13" s="651">
        <v>33</v>
      </c>
      <c r="F13" s="651">
        <f t="shared" si="0"/>
        <v>66198</v>
      </c>
      <c r="G13" s="651">
        <f t="shared" si="1"/>
        <v>12577.62</v>
      </c>
      <c r="H13" s="652">
        <f t="shared" ref="H13:H31" si="2">+F13+G13</f>
        <v>78775.62</v>
      </c>
    </row>
    <row r="14" spans="1:8" ht="15.75" thickBot="1">
      <c r="A14" s="939" t="s">
        <v>2453</v>
      </c>
      <c r="B14" s="939"/>
      <c r="C14" s="939"/>
      <c r="D14" s="939"/>
      <c r="E14" s="939"/>
      <c r="F14" s="939"/>
      <c r="G14" s="939"/>
      <c r="H14" s="939"/>
    </row>
    <row r="15" spans="1:8">
      <c r="A15" s="842">
        <v>43297</v>
      </c>
      <c r="B15" s="843" t="s">
        <v>315</v>
      </c>
      <c r="C15" s="844" t="s">
        <v>182</v>
      </c>
      <c r="D15" s="845">
        <v>2559</v>
      </c>
      <c r="E15" s="846">
        <v>4.4000000000000004</v>
      </c>
      <c r="F15" s="846">
        <f t="shared" si="0"/>
        <v>11259.6</v>
      </c>
      <c r="G15" s="846">
        <f t="shared" si="1"/>
        <v>2139.3240000000001</v>
      </c>
      <c r="H15" s="847">
        <f>+F15+G15</f>
        <v>13398.924000000001</v>
      </c>
    </row>
    <row r="16" spans="1:8">
      <c r="A16" s="653">
        <v>43304</v>
      </c>
      <c r="B16" s="293" t="s">
        <v>315</v>
      </c>
      <c r="C16" s="422" t="s">
        <v>182</v>
      </c>
      <c r="D16" s="423">
        <v>6341</v>
      </c>
      <c r="E16" s="304">
        <v>4.4000000000000004</v>
      </c>
      <c r="F16" s="304">
        <f t="shared" si="0"/>
        <v>27900.400000000001</v>
      </c>
      <c r="G16" s="304">
        <f t="shared" si="1"/>
        <v>5301.076</v>
      </c>
      <c r="H16" s="550">
        <f t="shared" si="2"/>
        <v>33201.476000000002</v>
      </c>
    </row>
    <row r="17" spans="1:8">
      <c r="A17" s="653">
        <v>43307</v>
      </c>
      <c r="B17" s="293" t="s">
        <v>315</v>
      </c>
      <c r="C17" s="422" t="s">
        <v>182</v>
      </c>
      <c r="D17" s="423">
        <v>3011</v>
      </c>
      <c r="E17" s="304">
        <v>4.4000000000000004</v>
      </c>
      <c r="F17" s="304">
        <f t="shared" si="0"/>
        <v>13248.400000000001</v>
      </c>
      <c r="G17" s="304">
        <f t="shared" si="1"/>
        <v>2517.1960000000004</v>
      </c>
      <c r="H17" s="550">
        <f t="shared" si="2"/>
        <v>15765.596000000001</v>
      </c>
    </row>
    <row r="18" spans="1:8" ht="15.75" thickBot="1">
      <c r="A18" s="654">
        <v>43308</v>
      </c>
      <c r="B18" s="648" t="s">
        <v>315</v>
      </c>
      <c r="C18" s="649" t="s">
        <v>182</v>
      </c>
      <c r="D18" s="650">
        <v>4455</v>
      </c>
      <c r="E18" s="651">
        <v>4.4000000000000004</v>
      </c>
      <c r="F18" s="651">
        <f t="shared" si="0"/>
        <v>19602</v>
      </c>
      <c r="G18" s="651">
        <f t="shared" si="1"/>
        <v>3724.38</v>
      </c>
      <c r="H18" s="652">
        <f t="shared" si="2"/>
        <v>23326.38</v>
      </c>
    </row>
    <row r="19" spans="1:8" ht="6" customHeight="1" thickBot="1">
      <c r="A19" s="835"/>
      <c r="B19" s="293"/>
      <c r="C19" s="422"/>
      <c r="D19" s="423"/>
      <c r="E19" s="304"/>
      <c r="F19" s="304"/>
      <c r="G19" s="304"/>
      <c r="H19" s="304"/>
    </row>
    <row r="20" spans="1:8">
      <c r="A20" s="842">
        <v>43315</v>
      </c>
      <c r="B20" s="843" t="s">
        <v>315</v>
      </c>
      <c r="C20" s="844" t="s">
        <v>182</v>
      </c>
      <c r="D20" s="845">
        <v>5677</v>
      </c>
      <c r="E20" s="846">
        <v>4.4000000000000004</v>
      </c>
      <c r="F20" s="846">
        <f t="shared" si="0"/>
        <v>24978.800000000003</v>
      </c>
      <c r="G20" s="846">
        <f t="shared" si="1"/>
        <v>4745.9720000000007</v>
      </c>
      <c r="H20" s="847">
        <f t="shared" si="2"/>
        <v>29724.772000000004</v>
      </c>
    </row>
    <row r="21" spans="1:8">
      <c r="A21" s="653">
        <v>43320</v>
      </c>
      <c r="B21" s="293" t="s">
        <v>315</v>
      </c>
      <c r="C21" s="422" t="s">
        <v>182</v>
      </c>
      <c r="D21" s="423">
        <v>1289</v>
      </c>
      <c r="E21" s="304">
        <v>4.4000000000000004</v>
      </c>
      <c r="F21" s="304">
        <f t="shared" si="0"/>
        <v>5671.6</v>
      </c>
      <c r="G21" s="304">
        <f t="shared" si="1"/>
        <v>1077.604</v>
      </c>
      <c r="H21" s="550">
        <f t="shared" si="2"/>
        <v>6749.2040000000006</v>
      </c>
    </row>
    <row r="22" spans="1:8">
      <c r="A22" s="653">
        <v>43325</v>
      </c>
      <c r="B22" s="293" t="s">
        <v>315</v>
      </c>
      <c r="C22" s="422" t="s">
        <v>182</v>
      </c>
      <c r="D22" s="423">
        <v>4241</v>
      </c>
      <c r="E22" s="304">
        <v>4.4000000000000004</v>
      </c>
      <c r="F22" s="304">
        <f t="shared" si="0"/>
        <v>18660.400000000001</v>
      </c>
      <c r="G22" s="304">
        <f t="shared" si="1"/>
        <v>3545.4760000000001</v>
      </c>
      <c r="H22" s="550">
        <f t="shared" si="2"/>
        <v>22205.876</v>
      </c>
    </row>
    <row r="23" spans="1:8">
      <c r="A23" s="653">
        <v>43326</v>
      </c>
      <c r="B23" s="293" t="s">
        <v>315</v>
      </c>
      <c r="C23" s="422" t="s">
        <v>182</v>
      </c>
      <c r="D23" s="423">
        <v>5530</v>
      </c>
      <c r="E23" s="304">
        <v>4.4000000000000004</v>
      </c>
      <c r="F23" s="304">
        <f t="shared" si="0"/>
        <v>24332.000000000004</v>
      </c>
      <c r="G23" s="304">
        <f t="shared" si="1"/>
        <v>4623.0800000000008</v>
      </c>
      <c r="H23" s="550">
        <f t="shared" si="2"/>
        <v>28955.080000000005</v>
      </c>
    </row>
    <row r="24" spans="1:8">
      <c r="A24" s="653">
        <v>43328</v>
      </c>
      <c r="B24" s="293" t="s">
        <v>315</v>
      </c>
      <c r="C24" s="422" t="s">
        <v>182</v>
      </c>
      <c r="D24" s="423">
        <v>2022</v>
      </c>
      <c r="E24" s="304">
        <v>4.4000000000000004</v>
      </c>
      <c r="F24" s="304">
        <f t="shared" si="0"/>
        <v>8896.8000000000011</v>
      </c>
      <c r="G24" s="304">
        <f t="shared" si="1"/>
        <v>1690.3920000000003</v>
      </c>
      <c r="H24" s="550">
        <f t="shared" si="2"/>
        <v>10587.192000000001</v>
      </c>
    </row>
    <row r="25" spans="1:8">
      <c r="A25" s="653">
        <v>43329</v>
      </c>
      <c r="B25" s="293" t="s">
        <v>315</v>
      </c>
      <c r="C25" s="422" t="s">
        <v>182</v>
      </c>
      <c r="D25" s="423">
        <v>1870</v>
      </c>
      <c r="E25" s="304">
        <v>4.4000000000000004</v>
      </c>
      <c r="F25" s="304">
        <f t="shared" si="0"/>
        <v>8228</v>
      </c>
      <c r="G25" s="304">
        <f t="shared" si="1"/>
        <v>1563.32</v>
      </c>
      <c r="H25" s="550">
        <f t="shared" si="2"/>
        <v>9791.32</v>
      </c>
    </row>
    <row r="26" spans="1:8">
      <c r="A26" s="653">
        <v>43329</v>
      </c>
      <c r="B26" s="293" t="s">
        <v>315</v>
      </c>
      <c r="C26" s="422" t="s">
        <v>182</v>
      </c>
      <c r="D26" s="423">
        <f>763+1170+712+967+742+330</f>
        <v>4684</v>
      </c>
      <c r="E26" s="304">
        <v>4.4000000000000004</v>
      </c>
      <c r="F26" s="304">
        <f t="shared" si="0"/>
        <v>20609.600000000002</v>
      </c>
      <c r="G26" s="304">
        <f t="shared" si="1"/>
        <v>3915.8240000000005</v>
      </c>
      <c r="H26" s="550">
        <f t="shared" si="2"/>
        <v>24525.424000000003</v>
      </c>
    </row>
    <row r="27" spans="1:8">
      <c r="A27" s="653">
        <v>43330</v>
      </c>
      <c r="B27" s="293" t="s">
        <v>315</v>
      </c>
      <c r="C27" s="422" t="s">
        <v>182</v>
      </c>
      <c r="D27" s="423">
        <v>1798</v>
      </c>
      <c r="E27" s="304">
        <v>4.4000000000000004</v>
      </c>
      <c r="F27" s="304">
        <f t="shared" si="0"/>
        <v>7911.2000000000007</v>
      </c>
      <c r="G27" s="304">
        <f t="shared" si="1"/>
        <v>1503.1280000000002</v>
      </c>
      <c r="H27" s="550">
        <f t="shared" si="2"/>
        <v>9414.3280000000013</v>
      </c>
    </row>
    <row r="28" spans="1:8">
      <c r="A28" s="653">
        <v>43332</v>
      </c>
      <c r="B28" s="293" t="s">
        <v>315</v>
      </c>
      <c r="C28" s="422" t="s">
        <v>182</v>
      </c>
      <c r="D28" s="423">
        <v>7540</v>
      </c>
      <c r="E28" s="304">
        <v>4.4000000000000004</v>
      </c>
      <c r="F28" s="304">
        <f t="shared" si="0"/>
        <v>33176</v>
      </c>
      <c r="G28" s="304">
        <f t="shared" si="1"/>
        <v>6303.4400000000005</v>
      </c>
      <c r="H28" s="550">
        <f t="shared" si="2"/>
        <v>39479.440000000002</v>
      </c>
    </row>
    <row r="29" spans="1:8">
      <c r="A29" s="653">
        <v>43342</v>
      </c>
      <c r="B29" s="293" t="s">
        <v>315</v>
      </c>
      <c r="C29" s="422" t="s">
        <v>182</v>
      </c>
      <c r="D29" s="423">
        <v>2072</v>
      </c>
      <c r="E29" s="304">
        <v>4.4000000000000004</v>
      </c>
      <c r="F29" s="304">
        <f t="shared" si="0"/>
        <v>9116.8000000000011</v>
      </c>
      <c r="G29" s="304">
        <f t="shared" si="1"/>
        <v>1732.1920000000002</v>
      </c>
      <c r="H29" s="550">
        <f t="shared" si="2"/>
        <v>10848.992000000002</v>
      </c>
    </row>
    <row r="30" spans="1:8">
      <c r="A30" s="653">
        <v>43343</v>
      </c>
      <c r="B30" s="293" t="s">
        <v>315</v>
      </c>
      <c r="C30" s="422" t="s">
        <v>182</v>
      </c>
      <c r="D30" s="423">
        <v>8257</v>
      </c>
      <c r="E30" s="304">
        <v>4.4000000000000004</v>
      </c>
      <c r="F30" s="304">
        <f t="shared" si="0"/>
        <v>36330.800000000003</v>
      </c>
      <c r="G30" s="304">
        <f t="shared" si="1"/>
        <v>6902.8520000000008</v>
      </c>
      <c r="H30" s="550">
        <f t="shared" si="2"/>
        <v>43233.652000000002</v>
      </c>
    </row>
    <row r="31" spans="1:8" ht="15.75" thickBot="1">
      <c r="A31" s="654">
        <v>43348</v>
      </c>
      <c r="B31" s="648" t="s">
        <v>315</v>
      </c>
      <c r="C31" s="649" t="s">
        <v>182</v>
      </c>
      <c r="D31" s="650">
        <v>6927</v>
      </c>
      <c r="E31" s="651">
        <v>4.4000000000000004</v>
      </c>
      <c r="F31" s="651">
        <f t="shared" si="0"/>
        <v>30478.800000000003</v>
      </c>
      <c r="G31" s="651">
        <f t="shared" si="1"/>
        <v>5790.9720000000007</v>
      </c>
      <c r="H31" s="652">
        <f t="shared" si="2"/>
        <v>36269.772000000004</v>
      </c>
    </row>
  </sheetData>
  <mergeCells count="2">
    <mergeCell ref="A1:H1"/>
    <mergeCell ref="A14:H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9</vt:i4>
      </vt:variant>
    </vt:vector>
  </HeadingPairs>
  <TitlesOfParts>
    <vt:vector size="24" baseType="lpstr">
      <vt:lpstr>09-2018</vt:lpstr>
      <vt:lpstr>etranger</vt:lpstr>
      <vt:lpstr>CMT</vt:lpstr>
      <vt:lpstr>EXPORT</vt:lpstr>
      <vt:lpstr>FED</vt:lpstr>
      <vt:lpstr>PLOMB LOCAL</vt:lpstr>
      <vt:lpstr>AUTRE FACTURE</vt:lpstr>
      <vt:lpstr>CT</vt:lpstr>
      <vt:lpstr>TR</vt:lpstr>
      <vt:lpstr>SNA</vt:lpstr>
      <vt:lpstr>STA</vt:lpstr>
      <vt:lpstr>SND</vt:lpstr>
      <vt:lpstr>TIP</vt:lpstr>
      <vt:lpstr>HEMP</vt:lpstr>
      <vt:lpstr>Feuil1</vt:lpstr>
      <vt:lpstr>'09-2018'!Zone_d_impression</vt:lpstr>
      <vt:lpstr>CMT!Zone_d_impression</vt:lpstr>
      <vt:lpstr>etranger!Zone_d_impression</vt:lpstr>
      <vt:lpstr>EXPORT!Zone_d_impression</vt:lpstr>
      <vt:lpstr>FED!Zone_d_impression</vt:lpstr>
      <vt:lpstr>HEMP!Zone_d_impression</vt:lpstr>
      <vt:lpstr>'PLOMB LOCAL'!Zone_d_impression</vt:lpstr>
      <vt:lpstr>SNA!Zone_d_impression</vt:lpstr>
      <vt:lpstr>SND!Zone_d_impression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AA</cp:lastModifiedBy>
  <cp:lastPrinted>2018-09-06T08:33:36Z</cp:lastPrinted>
  <dcterms:created xsi:type="dcterms:W3CDTF">2016-03-21T13:00:29Z</dcterms:created>
  <dcterms:modified xsi:type="dcterms:W3CDTF">2018-09-07T10:38:34Z</dcterms:modified>
</cp:coreProperties>
</file>