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tabRatio="827"/>
  </bookViews>
  <sheets>
    <sheet name="07-2018" sheetId="23" r:id="rId1"/>
    <sheet name="etranger" sheetId="3" r:id="rId2"/>
    <sheet name="CMT" sheetId="5" r:id="rId3"/>
    <sheet name="EXPORT" sheetId="1" r:id="rId4"/>
    <sheet name="FED" sheetId="6" r:id="rId5"/>
    <sheet name="KAIS TAYACHI" sheetId="18" state="hidden" r:id="rId6"/>
    <sheet name="SOTRAM" sheetId="21" state="hidden" r:id="rId7"/>
    <sheet name="HAZEM" sheetId="20" state="hidden" r:id="rId8"/>
    <sheet name="AUTRE FACTURE " sheetId="19" state="hidden" r:id="rId9"/>
    <sheet name="PLOMB LOCAL" sheetId="25" r:id="rId10"/>
    <sheet name="CT" sheetId="29" r:id="rId11"/>
    <sheet name="TRAITE" sheetId="27" r:id="rId12"/>
    <sheet name="Feuil1" sheetId="28" state="hidden" r:id="rId13"/>
  </sheets>
  <definedNames>
    <definedName name="_xlnm._FilterDatabase" localSheetId="3" hidden="1">EXPORT!$A$1:$A$167</definedName>
    <definedName name="_xlnm.Print_Area" localSheetId="0">'07-2018'!$A$1:$L$70</definedName>
    <definedName name="_xlnm.Print_Area" localSheetId="8">'AUTRE FACTURE '!$B$1:$L$14</definedName>
    <definedName name="_xlnm.Print_Area" localSheetId="2">CMT!$B$35:$I$40</definedName>
    <definedName name="_xlnm.Print_Area" localSheetId="1">etranger!$A$20:$F$21</definedName>
    <definedName name="_xlnm.Print_Area" localSheetId="3">EXPORT!$A$156:$E$167</definedName>
    <definedName name="_xlnm.Print_Area" localSheetId="4">FED!$A$10:$H$11</definedName>
    <definedName name="_xlnm.Print_Area" localSheetId="12">Feuil1!$A$1:$K$25</definedName>
    <definedName name="_xlnm.Print_Area" localSheetId="7">HAZEM!$B$46:$I$51</definedName>
    <definedName name="_xlnm.Print_Area" localSheetId="5">'KAIS TAYACHI'!$B$153:$M$177</definedName>
    <definedName name="_xlnm.Print_Area" localSheetId="9">'PLOMB LOCAL'!$A$1:$H$48</definedName>
    <definedName name="_xlnm.Print_Area" localSheetId="6">SOTRAM!$B$1:$R$22</definedName>
  </definedNames>
  <calcPr calcId="125725"/>
</workbook>
</file>

<file path=xl/calcChain.xml><?xml version="1.0" encoding="utf-8"?>
<calcChain xmlns="http://schemas.openxmlformats.org/spreadsheetml/2006/main">
  <c r="M50" i="23"/>
  <c r="F50"/>
  <c r="C50"/>
  <c r="I50"/>
  <c r="Q42"/>
  <c r="L15"/>
  <c r="G40"/>
  <c r="G43"/>
  <c r="F43" i="3"/>
  <c r="D43"/>
  <c r="D1160" i="29" l="1"/>
  <c r="D1158"/>
  <c r="D1152"/>
  <c r="D1133"/>
  <c r="D1008"/>
  <c r="D723"/>
  <c r="D66" i="23"/>
  <c r="F66"/>
  <c r="D336" i="29"/>
  <c r="C9" i="23" s="1"/>
  <c r="C5"/>
  <c r="D115" i="27"/>
  <c r="D113"/>
  <c r="D92"/>
  <c r="H5" i="25"/>
  <c r="G5"/>
  <c r="F5"/>
  <c r="D5"/>
  <c r="F16"/>
  <c r="H16" s="1"/>
  <c r="G16"/>
  <c r="F43" i="5"/>
  <c r="G42"/>
  <c r="D40" i="25"/>
  <c r="D23"/>
  <c r="D4"/>
  <c r="D3"/>
  <c r="F47"/>
  <c r="G47" s="1"/>
  <c r="G40" s="1"/>
  <c r="F34"/>
  <c r="G34" s="1"/>
  <c r="G23" s="1"/>
  <c r="F15"/>
  <c r="F4" s="1"/>
  <c r="B165" i="1"/>
  <c r="B164"/>
  <c r="B160"/>
  <c r="F131"/>
  <c r="M131"/>
  <c r="G131"/>
  <c r="F130"/>
  <c r="M130"/>
  <c r="G130"/>
  <c r="F23" i="25" l="1"/>
  <c r="F40"/>
  <c r="H47"/>
  <c r="H40" s="1"/>
  <c r="H34"/>
  <c r="H23" s="1"/>
  <c r="G15"/>
  <c r="K118" i="1"/>
  <c r="F14" i="25"/>
  <c r="F3" s="1"/>
  <c r="F45" i="28"/>
  <c r="G45" s="1"/>
  <c r="H45" s="1"/>
  <c r="F44"/>
  <c r="G44" s="1"/>
  <c r="H44" s="1"/>
  <c r="F43"/>
  <c r="G43" s="1"/>
  <c r="H43" s="1"/>
  <c r="G42"/>
  <c r="H42" s="1"/>
  <c r="F42"/>
  <c r="F41"/>
  <c r="G41" s="1"/>
  <c r="H41" s="1"/>
  <c r="F40"/>
  <c r="G40" s="1"/>
  <c r="H40" s="1"/>
  <c r="F39"/>
  <c r="G39" s="1"/>
  <c r="H39" s="1"/>
  <c r="G38"/>
  <c r="H38" s="1"/>
  <c r="F38"/>
  <c r="F37"/>
  <c r="G37" s="1"/>
  <c r="H37" s="1"/>
  <c r="F36"/>
  <c r="G36" s="1"/>
  <c r="H36" s="1"/>
  <c r="F35"/>
  <c r="G35" s="1"/>
  <c r="H35" s="1"/>
  <c r="D34"/>
  <c r="F34" s="1"/>
  <c r="G34" s="1"/>
  <c r="H34" s="1"/>
  <c r="G33"/>
  <c r="H33" s="1"/>
  <c r="F33"/>
  <c r="F32"/>
  <c r="G32" s="1"/>
  <c r="H32" s="1"/>
  <c r="F31"/>
  <c r="G31" s="1"/>
  <c r="H31" s="1"/>
  <c r="F30"/>
  <c r="G30" s="1"/>
  <c r="H30" s="1"/>
  <c r="G29"/>
  <c r="H29" s="1"/>
  <c r="F29"/>
  <c r="G28"/>
  <c r="H28" s="1"/>
  <c r="H46" s="1"/>
  <c r="G14" i="25" l="1"/>
  <c r="G3" s="1"/>
  <c r="H15"/>
  <c r="H4" s="1"/>
  <c r="G4"/>
  <c r="F25" i="28"/>
  <c r="G25" s="1"/>
  <c r="H25" s="1"/>
  <c r="F32" i="25"/>
  <c r="F31"/>
  <c r="G31" s="1"/>
  <c r="G16" i="28"/>
  <c r="G15"/>
  <c r="H14" i="25" l="1"/>
  <c r="H3" s="1"/>
  <c r="H31"/>
  <c r="G32"/>
  <c r="H32" s="1"/>
  <c r="F5" i="28"/>
  <c r="G5" s="1"/>
  <c r="H5" s="1"/>
  <c r="F6"/>
  <c r="G6" s="1"/>
  <c r="H6" s="1"/>
  <c r="F15"/>
  <c r="F16"/>
  <c r="F10"/>
  <c r="G10" s="1"/>
  <c r="H10" s="1"/>
  <c r="F17"/>
  <c r="G17" s="1"/>
  <c r="H17" s="1"/>
  <c r="F18"/>
  <c r="G18" s="1"/>
  <c r="H18" s="1"/>
  <c r="F19"/>
  <c r="G19" s="1"/>
  <c r="H19" s="1"/>
  <c r="F20"/>
  <c r="G20" s="1"/>
  <c r="H20" s="1"/>
  <c r="F21"/>
  <c r="G21" s="1"/>
  <c r="H21" s="1"/>
  <c r="F22"/>
  <c r="G22" s="1"/>
  <c r="H22" s="1"/>
  <c r="F23"/>
  <c r="G23" s="1"/>
  <c r="H23" s="1"/>
  <c r="F13"/>
  <c r="G13" s="1"/>
  <c r="H13" s="1"/>
  <c r="F11"/>
  <c r="G11" s="1"/>
  <c r="H11" s="1"/>
  <c r="F3"/>
  <c r="G3" s="1"/>
  <c r="H3" s="1"/>
  <c r="D8"/>
  <c r="F8" s="1"/>
  <c r="H16"/>
  <c r="H15"/>
  <c r="C84" i="3"/>
  <c r="C56" l="1"/>
  <c r="G8" i="28"/>
  <c r="H8" s="1"/>
  <c r="K113" i="1" l="1"/>
  <c r="K111"/>
  <c r="F128" l="1"/>
  <c r="M128"/>
  <c r="G128"/>
  <c r="F129"/>
  <c r="M129"/>
  <c r="G129"/>
  <c r="M119"/>
  <c r="K28" l="1"/>
  <c r="L14" i="19"/>
  <c r="L12"/>
  <c r="L13"/>
  <c r="G35" i="21"/>
  <c r="G34"/>
  <c r="K79" i="1"/>
  <c r="H35" i="21" l="1"/>
  <c r="H34"/>
  <c r="I34" s="1"/>
  <c r="F127" i="1"/>
  <c r="M127"/>
  <c r="G127"/>
  <c r="J35" i="21" l="1"/>
  <c r="J34"/>
  <c r="H14" i="23"/>
  <c r="F13"/>
  <c r="Q32"/>
  <c r="Q13"/>
  <c r="G13"/>
  <c r="G8" s="1"/>
  <c r="H34"/>
  <c r="G46"/>
  <c r="G35"/>
  <c r="G33"/>
  <c r="D80" i="3"/>
  <c r="C81"/>
  <c r="F39"/>
  <c r="D39"/>
  <c r="C40"/>
  <c r="C50"/>
  <c r="F42"/>
  <c r="D42"/>
  <c r="C37"/>
  <c r="F35"/>
  <c r="D35"/>
  <c r="K94" i="1" l="1"/>
  <c r="F33" i="25"/>
  <c r="G33" s="1"/>
  <c r="G205" i="18"/>
  <c r="H205"/>
  <c r="I205" s="1"/>
  <c r="K138" i="1"/>
  <c r="C72" i="3"/>
  <c r="F126" i="1"/>
  <c r="M126"/>
  <c r="G126"/>
  <c r="F13" i="25"/>
  <c r="G13" s="1"/>
  <c r="G204" i="18"/>
  <c r="H204" s="1"/>
  <c r="I204" s="1"/>
  <c r="G33" i="21"/>
  <c r="L20" i="19"/>
  <c r="F124" i="1"/>
  <c r="M124"/>
  <c r="G124"/>
  <c r="G195" i="18"/>
  <c r="H195"/>
  <c r="I195" s="1"/>
  <c r="G202"/>
  <c r="H202" s="1"/>
  <c r="I202" s="1"/>
  <c r="G32" i="21"/>
  <c r="G52" i="20"/>
  <c r="I52" s="1"/>
  <c r="H52"/>
  <c r="F125" i="1"/>
  <c r="M125"/>
  <c r="G125"/>
  <c r="K109"/>
  <c r="H33" i="25" l="1"/>
  <c r="H33" i="21"/>
  <c r="H32"/>
  <c r="G51" i="20"/>
  <c r="I51" s="1"/>
  <c r="H51"/>
  <c r="H13" i="25" l="1"/>
  <c r="I33" i="21"/>
  <c r="J33" s="1"/>
  <c r="J32"/>
  <c r="C78" i="3" l="1"/>
  <c r="F51" i="5"/>
  <c r="G43"/>
  <c r="E43"/>
  <c r="G41"/>
  <c r="G33"/>
  <c r="F34"/>
  <c r="E34"/>
  <c r="F122" i="1"/>
  <c r="M122"/>
  <c r="G122"/>
  <c r="F121"/>
  <c r="H18" i="25" l="1"/>
  <c r="C47" i="3"/>
  <c r="C59"/>
  <c r="F34" l="1"/>
  <c r="F33"/>
  <c r="F32"/>
  <c r="D32"/>
  <c r="D33"/>
  <c r="D34"/>
  <c r="G50" i="20" l="1"/>
  <c r="I50" s="1"/>
  <c r="H50"/>
  <c r="G49"/>
  <c r="G48"/>
  <c r="I169" i="18"/>
  <c r="I178"/>
  <c r="K108" i="1"/>
  <c r="G186" i="18"/>
  <c r="H186" s="1"/>
  <c r="I186" s="1"/>
  <c r="I49" i="20" l="1"/>
  <c r="H49"/>
  <c r="H48"/>
  <c r="I48" s="1"/>
  <c r="G47"/>
  <c r="G46"/>
  <c r="G185" i="18"/>
  <c r="H185" s="1"/>
  <c r="I185" s="1"/>
  <c r="G184"/>
  <c r="H184" s="1"/>
  <c r="I184" s="1"/>
  <c r="G183"/>
  <c r="H183" s="1"/>
  <c r="I183" s="1"/>
  <c r="G181"/>
  <c r="H181" s="1"/>
  <c r="I181" s="1"/>
  <c r="G201"/>
  <c r="H201" s="1"/>
  <c r="I201" s="1"/>
  <c r="G178"/>
  <c r="H178" s="1"/>
  <c r="F8" i="25" l="1"/>
  <c r="F43" s="1"/>
  <c r="F26"/>
  <c r="I47" i="20"/>
  <c r="H47"/>
  <c r="H46"/>
  <c r="I46" s="1"/>
  <c r="H26" i="25" l="1"/>
  <c r="G8"/>
  <c r="G26"/>
  <c r="G43"/>
  <c r="M121" i="1"/>
  <c r="G121"/>
  <c r="F123"/>
  <c r="M123"/>
  <c r="G123"/>
  <c r="G30" i="21"/>
  <c r="H30" s="1"/>
  <c r="I31"/>
  <c r="J31" s="1"/>
  <c r="G31"/>
  <c r="H31" s="1"/>
  <c r="G45" i="20"/>
  <c r="I45" s="1"/>
  <c r="H45"/>
  <c r="D31" i="3"/>
  <c r="D30"/>
  <c r="D29"/>
  <c r="D28"/>
  <c r="F31"/>
  <c r="F30"/>
  <c r="F29"/>
  <c r="F28"/>
  <c r="F27"/>
  <c r="D27"/>
  <c r="M175" i="18"/>
  <c r="G44" i="20"/>
  <c r="G43"/>
  <c r="G42"/>
  <c r="L11" i="19"/>
  <c r="L10"/>
  <c r="H10"/>
  <c r="M30" i="1"/>
  <c r="G41" i="20"/>
  <c r="I41" s="1"/>
  <c r="H41"/>
  <c r="G40"/>
  <c r="H40" s="1"/>
  <c r="G39"/>
  <c r="G194" i="18"/>
  <c r="H194" s="1"/>
  <c r="I194" s="1"/>
  <c r="G30" i="1"/>
  <c r="F30"/>
  <c r="M29"/>
  <c r="G29"/>
  <c r="F29"/>
  <c r="K106"/>
  <c r="H8" i="25" l="1"/>
  <c r="H10" s="1"/>
  <c r="H28"/>
  <c r="H43"/>
  <c r="H45" s="1"/>
  <c r="I30" i="21"/>
  <c r="J30" s="1"/>
  <c r="H44" i="20"/>
  <c r="I44" s="1"/>
  <c r="I43"/>
  <c r="H43"/>
  <c r="I42"/>
  <c r="H42"/>
  <c r="I10" i="19"/>
  <c r="J10" s="1"/>
  <c r="K10" s="1"/>
  <c r="I40" i="20"/>
  <c r="H39"/>
  <c r="I39" s="1"/>
  <c r="G173" i="18"/>
  <c r="H173" s="1"/>
  <c r="I173" s="1"/>
  <c r="G169"/>
  <c r="H169" s="1"/>
  <c r="G165"/>
  <c r="H165" s="1"/>
  <c r="I165" s="1"/>
  <c r="G38" i="20"/>
  <c r="H38" s="1"/>
  <c r="G37"/>
  <c r="I37" s="1"/>
  <c r="H37"/>
  <c r="G119" i="1"/>
  <c r="F120"/>
  <c r="M120"/>
  <c r="G120"/>
  <c r="I38" i="20" l="1"/>
  <c r="G36"/>
  <c r="J29" i="21"/>
  <c r="H29"/>
  <c r="G29"/>
  <c r="G164" i="18"/>
  <c r="H164" s="1"/>
  <c r="I164" s="1"/>
  <c r="G163"/>
  <c r="H163" s="1"/>
  <c r="I163" s="1"/>
  <c r="G168"/>
  <c r="H168" s="1"/>
  <c r="I168" s="1"/>
  <c r="G193"/>
  <c r="H193" s="1"/>
  <c r="I193" s="1"/>
  <c r="G172"/>
  <c r="H172" s="1"/>
  <c r="I172" s="1"/>
  <c r="G161"/>
  <c r="H161" s="1"/>
  <c r="I161" s="1"/>
  <c r="G162"/>
  <c r="H162" s="1"/>
  <c r="I162" s="1"/>
  <c r="G159"/>
  <c r="H159" s="1"/>
  <c r="I159" s="1"/>
  <c r="G158"/>
  <c r="H158" s="1"/>
  <c r="I158" s="1"/>
  <c r="G157"/>
  <c r="H157" s="1"/>
  <c r="I157" s="1"/>
  <c r="E160"/>
  <c r="G160" s="1"/>
  <c r="H160" s="1"/>
  <c r="I160" s="1"/>
  <c r="G34" i="20"/>
  <c r="G35"/>
  <c r="H35" s="1"/>
  <c r="G155" i="18"/>
  <c r="H155" s="1"/>
  <c r="I155" s="1"/>
  <c r="G156"/>
  <c r="H156" s="1"/>
  <c r="I156" s="1"/>
  <c r="H36" i="20" l="1"/>
  <c r="I36" s="1"/>
  <c r="I35"/>
  <c r="H34"/>
  <c r="I34" s="1"/>
  <c r="I14" i="23"/>
  <c r="E9"/>
  <c r="F8" l="1"/>
  <c r="G33" i="20"/>
  <c r="G32"/>
  <c r="G154" i="18"/>
  <c r="H154" s="1"/>
  <c r="I154" s="1"/>
  <c r="G153"/>
  <c r="H153" s="1"/>
  <c r="I153" s="1"/>
  <c r="G171"/>
  <c r="H171" s="1"/>
  <c r="I171" s="1"/>
  <c r="G167"/>
  <c r="F26" i="3"/>
  <c r="D26"/>
  <c r="H28" i="21"/>
  <c r="G28"/>
  <c r="G131" i="18"/>
  <c r="H131" s="1"/>
  <c r="I131" s="1"/>
  <c r="G130"/>
  <c r="H130" s="1"/>
  <c r="I130" s="1"/>
  <c r="G129"/>
  <c r="H129" s="1"/>
  <c r="I129" s="1"/>
  <c r="G128"/>
  <c r="H128" s="1"/>
  <c r="I128" s="1"/>
  <c r="G127"/>
  <c r="H127" s="1"/>
  <c r="I127" s="1"/>
  <c r="G31" i="20"/>
  <c r="H31" s="1"/>
  <c r="K105" i="1"/>
  <c r="F25" i="3"/>
  <c r="D25"/>
  <c r="F24"/>
  <c r="D24"/>
  <c r="F23"/>
  <c r="D23"/>
  <c r="F22"/>
  <c r="D22"/>
  <c r="F118" i="1"/>
  <c r="M118"/>
  <c r="B163" s="1"/>
  <c r="G118"/>
  <c r="G30" i="20"/>
  <c r="G29"/>
  <c r="G28"/>
  <c r="G126" i="18"/>
  <c r="H126" s="1"/>
  <c r="I126" s="1"/>
  <c r="G125"/>
  <c r="H125" s="1"/>
  <c r="I125" s="1"/>
  <c r="G124"/>
  <c r="H124" s="1"/>
  <c r="I124" s="1"/>
  <c r="G123"/>
  <c r="H123" s="1"/>
  <c r="I123" s="1"/>
  <c r="G122"/>
  <c r="H122" s="1"/>
  <c r="I122" s="1"/>
  <c r="G119"/>
  <c r="H119" s="1"/>
  <c r="I119" s="1"/>
  <c r="G120"/>
  <c r="H120" s="1"/>
  <c r="I120" s="1"/>
  <c r="G117"/>
  <c r="H117" s="1"/>
  <c r="I117" s="1"/>
  <c r="G118"/>
  <c r="H118" s="1"/>
  <c r="I118" s="1"/>
  <c r="G115"/>
  <c r="H115" s="1"/>
  <c r="I115" s="1"/>
  <c r="G116"/>
  <c r="H116" s="1"/>
  <c r="I116" s="1"/>
  <c r="G121"/>
  <c r="H121" s="1"/>
  <c r="I121" s="1"/>
  <c r="G137"/>
  <c r="H137" s="1"/>
  <c r="I137" s="1"/>
  <c r="E142"/>
  <c r="G142" s="1"/>
  <c r="H142" s="1"/>
  <c r="G150"/>
  <c r="G141"/>
  <c r="I31" i="20" l="1"/>
  <c r="H150" i="18"/>
  <c r="I150" s="1"/>
  <c r="H167"/>
  <c r="I167" s="1"/>
  <c r="I175" s="1"/>
  <c r="H141"/>
  <c r="I141" s="1"/>
  <c r="I33" i="20"/>
  <c r="H33"/>
  <c r="H32"/>
  <c r="I32" s="1"/>
  <c r="F47" i="23" s="1"/>
  <c r="I142" i="18"/>
  <c r="J28" i="21"/>
  <c r="I28"/>
  <c r="H29" i="20"/>
  <c r="I29" s="1"/>
  <c r="H30"/>
  <c r="I30" s="1"/>
  <c r="H28"/>
  <c r="I28" s="1"/>
  <c r="G27" i="21"/>
  <c r="G27" i="20"/>
  <c r="G25"/>
  <c r="G47" i="23"/>
  <c r="I27" i="21" l="1"/>
  <c r="H27"/>
  <c r="H27" i="20"/>
  <c r="I27" s="1"/>
  <c r="H25"/>
  <c r="I25" s="1"/>
  <c r="J27" i="21" l="1"/>
  <c r="F23" i="5"/>
  <c r="E23"/>
  <c r="E51" s="1"/>
  <c r="G22"/>
  <c r="M154" i="1"/>
  <c r="F154"/>
  <c r="G154"/>
  <c r="G26" i="20"/>
  <c r="G24"/>
  <c r="G145" i="18"/>
  <c r="G147"/>
  <c r="G144"/>
  <c r="G146"/>
  <c r="G148"/>
  <c r="G149"/>
  <c r="G110"/>
  <c r="H110" s="1"/>
  <c r="I110" s="1"/>
  <c r="G111"/>
  <c r="H111" s="1"/>
  <c r="I111" s="1"/>
  <c r="G112"/>
  <c r="H112" s="1"/>
  <c r="I112" s="1"/>
  <c r="G113"/>
  <c r="H113" s="1"/>
  <c r="I113" s="1"/>
  <c r="G108"/>
  <c r="H108" s="1"/>
  <c r="I108" s="1"/>
  <c r="G114"/>
  <c r="H114" s="1"/>
  <c r="I114" s="1"/>
  <c r="G109"/>
  <c r="H109" s="1"/>
  <c r="I109" s="1"/>
  <c r="G136"/>
  <c r="H136" s="1"/>
  <c r="I136" s="1"/>
  <c r="G140"/>
  <c r="G23" i="20"/>
  <c r="G22"/>
  <c r="G21"/>
  <c r="H21"/>
  <c r="G107" i="18"/>
  <c r="H107" s="1"/>
  <c r="I107" s="1"/>
  <c r="K104" i="1"/>
  <c r="H148" i="18" l="1"/>
  <c r="I148" s="1"/>
  <c r="H145"/>
  <c r="I145" s="1"/>
  <c r="H149"/>
  <c r="I149" s="1"/>
  <c r="H147"/>
  <c r="I147" s="1"/>
  <c r="H146"/>
  <c r="I146" s="1"/>
  <c r="H140"/>
  <c r="I140" s="1"/>
  <c r="H144"/>
  <c r="I144" s="1"/>
  <c r="H24" i="20"/>
  <c r="I24" s="1"/>
  <c r="I21"/>
  <c r="H26"/>
  <c r="I26" s="1"/>
  <c r="I23"/>
  <c r="H23"/>
  <c r="I22"/>
  <c r="H22"/>
  <c r="E139" i="18"/>
  <c r="G105"/>
  <c r="H105" s="1"/>
  <c r="I105" s="1"/>
  <c r="G106"/>
  <c r="H106" s="1"/>
  <c r="I106" s="1"/>
  <c r="G139" l="1"/>
  <c r="G135"/>
  <c r="H135" s="1"/>
  <c r="I135" s="1"/>
  <c r="G104"/>
  <c r="H104" s="1"/>
  <c r="I104" s="1"/>
  <c r="G103"/>
  <c r="H103" s="1"/>
  <c r="I103" s="1"/>
  <c r="H20" i="19"/>
  <c r="I20" s="1"/>
  <c r="K20" s="1"/>
  <c r="H19"/>
  <c r="I19" s="1"/>
  <c r="K19" s="1"/>
  <c r="H19" i="20"/>
  <c r="I19" s="1"/>
  <c r="G20"/>
  <c r="H20" s="1"/>
  <c r="I20" s="1"/>
  <c r="G19"/>
  <c r="M153" i="1"/>
  <c r="F153"/>
  <c r="G153"/>
  <c r="F117"/>
  <c r="M117"/>
  <c r="G117"/>
  <c r="H139" i="18" l="1"/>
  <c r="I139" s="1"/>
  <c r="F116" i="1" l="1"/>
  <c r="M116"/>
  <c r="G116"/>
  <c r="H9" i="19"/>
  <c r="H8"/>
  <c r="G18" i="20"/>
  <c r="H18" s="1"/>
  <c r="I18" s="1"/>
  <c r="G17"/>
  <c r="G102" i="18"/>
  <c r="H102" s="1"/>
  <c r="I102" s="1"/>
  <c r="G134"/>
  <c r="H134" s="1"/>
  <c r="I134" s="1"/>
  <c r="H17" i="20" l="1"/>
  <c r="I17"/>
  <c r="I9" i="19"/>
  <c r="J9" s="1"/>
  <c r="K9" s="1"/>
  <c r="I8"/>
  <c r="J8" s="1"/>
  <c r="K8" s="1"/>
  <c r="G87" i="18"/>
  <c r="H87" s="1"/>
  <c r="I87" s="1"/>
  <c r="G26" i="21" l="1"/>
  <c r="H26" s="1"/>
  <c r="G25"/>
  <c r="H25" s="1"/>
  <c r="G101" i="18"/>
  <c r="H101" s="1"/>
  <c r="I101" s="1"/>
  <c r="G100"/>
  <c r="H100" s="1"/>
  <c r="I100" s="1"/>
  <c r="G98"/>
  <c r="H98" s="1"/>
  <c r="I98" s="1"/>
  <c r="G133"/>
  <c r="H133" s="1"/>
  <c r="I133" s="1"/>
  <c r="G93"/>
  <c r="H93" s="1"/>
  <c r="I93" s="1"/>
  <c r="F152" i="1"/>
  <c r="M152"/>
  <c r="G152"/>
  <c r="K102"/>
  <c r="I16" i="20"/>
  <c r="G16"/>
  <c r="H16" s="1"/>
  <c r="G15"/>
  <c r="H15" s="1"/>
  <c r="I15" s="1"/>
  <c r="I151" i="18" l="1"/>
  <c r="I26" i="21"/>
  <c r="J26" s="1"/>
  <c r="I25"/>
  <c r="J25" s="1"/>
  <c r="G197" i="18"/>
  <c r="H197" s="1"/>
  <c r="I197" s="1"/>
  <c r="G96"/>
  <c r="H96" s="1"/>
  <c r="I96" s="1"/>
  <c r="G91"/>
  <c r="H91" s="1"/>
  <c r="I91" s="1"/>
  <c r="G92"/>
  <c r="H92" s="1"/>
  <c r="I92" s="1"/>
  <c r="G97"/>
  <c r="H97" s="1"/>
  <c r="I97" s="1"/>
  <c r="F115" i="1"/>
  <c r="M115"/>
  <c r="G115"/>
  <c r="K67"/>
  <c r="G95" i="18"/>
  <c r="L68" i="23"/>
  <c r="P9"/>
  <c r="G86" i="18"/>
  <c r="H86" s="1"/>
  <c r="I86" s="1"/>
  <c r="F151" i="1"/>
  <c r="M151"/>
  <c r="G151"/>
  <c r="F28"/>
  <c r="M28"/>
  <c r="G28"/>
  <c r="K100"/>
  <c r="F114"/>
  <c r="M114"/>
  <c r="G114"/>
  <c r="F113"/>
  <c r="M113"/>
  <c r="G113"/>
  <c r="G90" i="18"/>
  <c r="H90" s="1"/>
  <c r="I90" s="1"/>
  <c r="G199"/>
  <c r="H199" s="1"/>
  <c r="I199" s="1"/>
  <c r="G85"/>
  <c r="G83"/>
  <c r="K23" i="1"/>
  <c r="F150"/>
  <c r="G150"/>
  <c r="M150"/>
  <c r="M149"/>
  <c r="F149"/>
  <c r="G149"/>
  <c r="F112"/>
  <c r="M112"/>
  <c r="G112"/>
  <c r="F111"/>
  <c r="M111"/>
  <c r="G111"/>
  <c r="G14" i="20"/>
  <c r="H14" s="1"/>
  <c r="I14" s="1"/>
  <c r="G23" i="21"/>
  <c r="I23" s="1"/>
  <c r="H23"/>
  <c r="J23" s="1"/>
  <c r="G24"/>
  <c r="I24" s="1"/>
  <c r="H24"/>
  <c r="J24" s="1"/>
  <c r="B159" i="1" l="1"/>
  <c r="C162"/>
  <c r="H95" i="18"/>
  <c r="H85"/>
  <c r="H83"/>
  <c r="I95" l="1"/>
  <c r="I85"/>
  <c r="I83"/>
  <c r="G75" l="1"/>
  <c r="H75" s="1"/>
  <c r="I75" s="1"/>
  <c r="M27" i="1" l="1"/>
  <c r="G27"/>
  <c r="F27"/>
  <c r="K99" l="1"/>
  <c r="K24" l="1"/>
  <c r="K98"/>
  <c r="F110"/>
  <c r="M110"/>
  <c r="G110"/>
  <c r="H5" i="19"/>
  <c r="I5" s="1"/>
  <c r="H4"/>
  <c r="I4" s="1"/>
  <c r="J5" l="1"/>
  <c r="K5" s="1"/>
  <c r="J4"/>
  <c r="K4" s="1"/>
  <c r="M109" i="1" l="1"/>
  <c r="F109"/>
  <c r="G109"/>
  <c r="Q47" i="23"/>
  <c r="Q31"/>
  <c r="Q8"/>
  <c r="C44" i="3"/>
  <c r="M9" i="23" l="1"/>
  <c r="S4"/>
  <c r="R4"/>
  <c r="Q4"/>
  <c r="P4"/>
  <c r="O4"/>
  <c r="N4"/>
  <c r="M4"/>
  <c r="L4"/>
  <c r="K4"/>
  <c r="J4"/>
  <c r="I4"/>
  <c r="H4"/>
  <c r="G4"/>
  <c r="F4"/>
  <c r="E4"/>
  <c r="D4"/>
  <c r="C4"/>
  <c r="B4"/>
  <c r="G74" i="18"/>
  <c r="H74" s="1"/>
  <c r="I74" s="1"/>
  <c r="G13" i="20"/>
  <c r="H13" s="1"/>
  <c r="I13" s="1"/>
  <c r="G12"/>
  <c r="H12" s="1"/>
  <c r="I12" s="1"/>
  <c r="Q69" i="23" l="1"/>
  <c r="K96" i="1"/>
  <c r="F148"/>
  <c r="M148"/>
  <c r="G148"/>
  <c r="F108"/>
  <c r="M108"/>
  <c r="G108"/>
  <c r="M26"/>
  <c r="G26"/>
  <c r="F26"/>
  <c r="G89" i="18"/>
  <c r="G78"/>
  <c r="H78" s="1"/>
  <c r="I78" s="1"/>
  <c r="G79"/>
  <c r="H79" s="1"/>
  <c r="I79" s="1"/>
  <c r="G80"/>
  <c r="H80" s="1"/>
  <c r="I80" s="1"/>
  <c r="G81"/>
  <c r="H81" s="1"/>
  <c r="I81" s="1"/>
  <c r="G77"/>
  <c r="H77" s="1"/>
  <c r="I77" s="1"/>
  <c r="H89" l="1"/>
  <c r="G22" i="21"/>
  <c r="G21"/>
  <c r="I89" i="18" l="1"/>
  <c r="I22" i="21"/>
  <c r="H22"/>
  <c r="H21"/>
  <c r="J22" l="1"/>
  <c r="I21"/>
  <c r="J21" s="1"/>
  <c r="F107" i="1"/>
  <c r="M107"/>
  <c r="G107"/>
  <c r="K21" l="1"/>
  <c r="K22"/>
  <c r="K92"/>
  <c r="G71" i="18"/>
  <c r="H71" s="1"/>
  <c r="I71" s="1"/>
  <c r="G73" l="1"/>
  <c r="H73" s="1"/>
  <c r="I73" s="1"/>
  <c r="G20" i="21"/>
  <c r="G19"/>
  <c r="N18"/>
  <c r="G11" i="20"/>
  <c r="H11"/>
  <c r="I11" s="1"/>
  <c r="G10"/>
  <c r="H10" s="1"/>
  <c r="I10" s="1"/>
  <c r="G9"/>
  <c r="H9"/>
  <c r="I9" s="1"/>
  <c r="M9" s="1"/>
  <c r="F106" i="1"/>
  <c r="M106"/>
  <c r="G106"/>
  <c r="I20" i="21" l="1"/>
  <c r="H20"/>
  <c r="I19"/>
  <c r="H19"/>
  <c r="G67" i="18"/>
  <c r="H67" s="1"/>
  <c r="G72"/>
  <c r="H72" s="1"/>
  <c r="I72" s="1"/>
  <c r="F105" i="1"/>
  <c r="M105"/>
  <c r="G105"/>
  <c r="F147"/>
  <c r="M147"/>
  <c r="G147"/>
  <c r="J20" i="21" l="1"/>
  <c r="J19"/>
  <c r="I67" i="18"/>
  <c r="N9" i="23"/>
  <c r="J9"/>
  <c r="G68" l="1"/>
  <c r="S65" l="1"/>
  <c r="R65"/>
  <c r="P65"/>
  <c r="O65"/>
  <c r="N65"/>
  <c r="M65"/>
  <c r="L65"/>
  <c r="K65"/>
  <c r="J65"/>
  <c r="H65"/>
  <c r="G65"/>
  <c r="E65"/>
  <c r="C65"/>
  <c r="B65"/>
  <c r="S47"/>
  <c r="S31" s="1"/>
  <c r="S69" s="1"/>
  <c r="R47"/>
  <c r="P47"/>
  <c r="O47"/>
  <c r="N47"/>
  <c r="N31" s="1"/>
  <c r="M47"/>
  <c r="L47"/>
  <c r="K47"/>
  <c r="J47"/>
  <c r="J31" s="1"/>
  <c r="I47"/>
  <c r="H47"/>
  <c r="E47"/>
  <c r="D47"/>
  <c r="C47"/>
  <c r="C31" s="1"/>
  <c r="B47"/>
  <c r="S32"/>
  <c r="R32"/>
  <c r="P32"/>
  <c r="O32"/>
  <c r="N32"/>
  <c r="M32"/>
  <c r="L32"/>
  <c r="K32"/>
  <c r="J32"/>
  <c r="I32"/>
  <c r="H32"/>
  <c r="G32"/>
  <c r="F32"/>
  <c r="E32"/>
  <c r="D32"/>
  <c r="B32"/>
  <c r="S13"/>
  <c r="R13"/>
  <c r="P13"/>
  <c r="P8" s="1"/>
  <c r="O13"/>
  <c r="O8" s="1"/>
  <c r="N13"/>
  <c r="M13"/>
  <c r="K13"/>
  <c r="K8" s="1"/>
  <c r="J13"/>
  <c r="I13"/>
  <c r="I8" s="1"/>
  <c r="H13"/>
  <c r="E13"/>
  <c r="D13"/>
  <c r="S8"/>
  <c r="R8"/>
  <c r="N8"/>
  <c r="M8"/>
  <c r="J8"/>
  <c r="H8"/>
  <c r="E8"/>
  <c r="D8"/>
  <c r="C8"/>
  <c r="B8"/>
  <c r="H3" i="19"/>
  <c r="I3" s="1"/>
  <c r="H6"/>
  <c r="I6" s="1"/>
  <c r="J6" s="1"/>
  <c r="K6" s="1"/>
  <c r="H7"/>
  <c r="I7" s="1"/>
  <c r="J7" s="1"/>
  <c r="K7" s="1"/>
  <c r="H2"/>
  <c r="I2" s="1"/>
  <c r="N12" i="21"/>
  <c r="N15"/>
  <c r="N16"/>
  <c r="N17"/>
  <c r="N14"/>
  <c r="N6"/>
  <c r="N7"/>
  <c r="N8"/>
  <c r="N9"/>
  <c r="N10"/>
  <c r="N11"/>
  <c r="N5"/>
  <c r="N2"/>
  <c r="G3"/>
  <c r="G4"/>
  <c r="G5"/>
  <c r="G6"/>
  <c r="G7"/>
  <c r="G8"/>
  <c r="G9"/>
  <c r="G10"/>
  <c r="G11"/>
  <c r="G12"/>
  <c r="G13"/>
  <c r="G14"/>
  <c r="G15"/>
  <c r="G16"/>
  <c r="G17"/>
  <c r="G18"/>
  <c r="G3" i="20"/>
  <c r="H3" s="1"/>
  <c r="I3" s="1"/>
  <c r="G4"/>
  <c r="H4" s="1"/>
  <c r="I4" s="1"/>
  <c r="G5"/>
  <c r="H5"/>
  <c r="I5" s="1"/>
  <c r="G6"/>
  <c r="H6" s="1"/>
  <c r="I6" s="1"/>
  <c r="G7"/>
  <c r="H7" s="1"/>
  <c r="I7" s="1"/>
  <c r="G8"/>
  <c r="H8" s="1"/>
  <c r="I8" s="1"/>
  <c r="M8" s="1"/>
  <c r="H2"/>
  <c r="I2" s="1"/>
  <c r="G2"/>
  <c r="G69" i="18"/>
  <c r="H69" s="1"/>
  <c r="I69" s="1"/>
  <c r="R69" i="23" l="1"/>
  <c r="P31"/>
  <c r="K31"/>
  <c r="O31"/>
  <c r="B31"/>
  <c r="E31"/>
  <c r="M31"/>
  <c r="R31"/>
  <c r="H31"/>
  <c r="L31"/>
  <c r="G31"/>
  <c r="J2" i="19"/>
  <c r="K2" s="1"/>
  <c r="S2" s="1"/>
  <c r="J3"/>
  <c r="K3" s="1"/>
  <c r="H18" i="21"/>
  <c r="I18" s="1"/>
  <c r="H17"/>
  <c r="H16"/>
  <c r="H15"/>
  <c r="I15" s="1"/>
  <c r="H14"/>
  <c r="I14" s="1"/>
  <c r="H13"/>
  <c r="I13" s="1"/>
  <c r="H12"/>
  <c r="H11"/>
  <c r="I11" s="1"/>
  <c r="H10"/>
  <c r="H9"/>
  <c r="I9" s="1"/>
  <c r="H8"/>
  <c r="I8" s="1"/>
  <c r="H7"/>
  <c r="H6"/>
  <c r="H5"/>
  <c r="I5" s="1"/>
  <c r="H4"/>
  <c r="I4" s="1"/>
  <c r="H3"/>
  <c r="I3" s="1"/>
  <c r="J13" l="1"/>
  <c r="J18"/>
  <c r="J9"/>
  <c r="J4"/>
  <c r="J8"/>
  <c r="I10"/>
  <c r="J10" s="1"/>
  <c r="I16"/>
  <c r="J16" s="1"/>
  <c r="J14"/>
  <c r="J5"/>
  <c r="J3"/>
  <c r="J11"/>
  <c r="J15"/>
  <c r="I6"/>
  <c r="J6" s="1"/>
  <c r="I7"/>
  <c r="J7" s="1"/>
  <c r="I17"/>
  <c r="J17" s="1"/>
  <c r="I12"/>
  <c r="J12" s="1"/>
  <c r="G2" l="1"/>
  <c r="G70" i="18"/>
  <c r="H70" s="1"/>
  <c r="I70" s="1"/>
  <c r="G66"/>
  <c r="H66" s="1"/>
  <c r="G65"/>
  <c r="H2" i="21" l="1"/>
  <c r="I66" i="18"/>
  <c r="H65"/>
  <c r="I65" s="1"/>
  <c r="F104" i="1"/>
  <c r="M104"/>
  <c r="G104"/>
  <c r="J2" i="21" l="1"/>
  <c r="I2"/>
  <c r="F103" i="1"/>
  <c r="M103"/>
  <c r="G103"/>
  <c r="K95"/>
  <c r="G64" i="18" l="1"/>
  <c r="H64" s="1"/>
  <c r="I64" s="1"/>
  <c r="G63"/>
  <c r="H63" s="1"/>
  <c r="I63" s="1"/>
  <c r="F146" i="1"/>
  <c r="M146"/>
  <c r="G146"/>
  <c r="F102"/>
  <c r="M102"/>
  <c r="G102"/>
  <c r="K93"/>
  <c r="K91"/>
  <c r="G61" i="18"/>
  <c r="H61" s="1"/>
  <c r="I61" s="1"/>
  <c r="G62"/>
  <c r="H62" s="1"/>
  <c r="I62" s="1"/>
  <c r="G60"/>
  <c r="H60" s="1"/>
  <c r="M33"/>
  <c r="I60" l="1"/>
  <c r="C74" i="3" l="1"/>
  <c r="C75" s="1"/>
  <c r="M144" i="1" l="1"/>
  <c r="G144"/>
  <c r="F144"/>
  <c r="M145"/>
  <c r="G145"/>
  <c r="F145"/>
  <c r="C18" i="3"/>
  <c r="F101" i="1" l="1"/>
  <c r="M101"/>
  <c r="G101"/>
  <c r="G58" i="18"/>
  <c r="H58" s="1"/>
  <c r="I58" s="1"/>
  <c r="G57"/>
  <c r="H57" s="1"/>
  <c r="I57" s="1"/>
  <c r="G56"/>
  <c r="H56" s="1"/>
  <c r="I56" s="1"/>
  <c r="G55"/>
  <c r="H55" s="1"/>
  <c r="I55" s="1"/>
  <c r="G54"/>
  <c r="H54" s="1"/>
  <c r="I54" s="1"/>
  <c r="K89" i="1"/>
  <c r="C15" i="3" l="1"/>
  <c r="K20" i="1" l="1"/>
  <c r="K18"/>
  <c r="K14"/>
  <c r="F25"/>
  <c r="M25"/>
  <c r="G25"/>
  <c r="K90"/>
  <c r="F143" l="1"/>
  <c r="G143"/>
  <c r="K87"/>
  <c r="K83"/>
  <c r="M143"/>
  <c r="K88"/>
  <c r="G46" i="18" l="1"/>
  <c r="H46" s="1"/>
  <c r="I46" s="1"/>
  <c r="G47"/>
  <c r="H47" s="1"/>
  <c r="I47" s="1"/>
  <c r="G48"/>
  <c r="H48" s="1"/>
  <c r="I48" s="1"/>
  <c r="G49"/>
  <c r="H49" s="1"/>
  <c r="I49" s="1"/>
  <c r="G50"/>
  <c r="H50" s="1"/>
  <c r="I50" s="1"/>
  <c r="G51"/>
  <c r="H51" s="1"/>
  <c r="I51" s="1"/>
  <c r="G52"/>
  <c r="H52" s="1"/>
  <c r="I52" s="1"/>
  <c r="K63" i="1"/>
  <c r="G37" i="18" l="1"/>
  <c r="H37" s="1"/>
  <c r="G44"/>
  <c r="H44" s="1"/>
  <c r="I44" s="1"/>
  <c r="F142" i="1"/>
  <c r="M142"/>
  <c r="G142"/>
  <c r="G42" i="18"/>
  <c r="H42" s="1"/>
  <c r="I42" s="1"/>
  <c r="G43"/>
  <c r="H43" s="1"/>
  <c r="I43" s="1"/>
  <c r="I37" l="1"/>
  <c r="F100" i="1"/>
  <c r="M100"/>
  <c r="G100"/>
  <c r="K86" l="1"/>
  <c r="F141"/>
  <c r="M141"/>
  <c r="G141"/>
  <c r="F99"/>
  <c r="M99"/>
  <c r="G99"/>
  <c r="M137"/>
  <c r="M138"/>
  <c r="M139"/>
  <c r="M140"/>
  <c r="M136"/>
  <c r="C12" i="3"/>
  <c r="F140" i="1"/>
  <c r="G140"/>
  <c r="G38" i="18"/>
  <c r="H38" s="1"/>
  <c r="I38" s="1"/>
  <c r="G36"/>
  <c r="G35"/>
  <c r="G34"/>
  <c r="G33"/>
  <c r="H33" s="1"/>
  <c r="I33" s="1"/>
  <c r="G41"/>
  <c r="H41" s="1"/>
  <c r="I41" s="1"/>
  <c r="G40"/>
  <c r="H40" s="1"/>
  <c r="I40" s="1"/>
  <c r="D61" i="3"/>
  <c r="C64"/>
  <c r="H36" i="18" l="1"/>
  <c r="I36" s="1"/>
  <c r="H35"/>
  <c r="I35" s="1"/>
  <c r="H34"/>
  <c r="I34" s="1"/>
  <c r="F98" i="1"/>
  <c r="M98"/>
  <c r="G98"/>
  <c r="F6" i="5"/>
  <c r="F8" s="1"/>
  <c r="E6"/>
  <c r="E8" s="1"/>
  <c r="G5"/>
  <c r="G6" l="1"/>
  <c r="G8" l="1"/>
  <c r="I65" i="23"/>
  <c r="I31" s="1"/>
  <c r="G139" i="1"/>
  <c r="F139"/>
  <c r="G138"/>
  <c r="G137"/>
  <c r="G136"/>
  <c r="F138"/>
  <c r="F137"/>
  <c r="F136"/>
  <c r="D167"/>
  <c r="G48" i="5"/>
  <c r="K76" i="1" l="1"/>
  <c r="G28" i="18"/>
  <c r="H28" s="1"/>
  <c r="I28" s="1"/>
  <c r="G29"/>
  <c r="H29" s="1"/>
  <c r="I29" s="1"/>
  <c r="G30"/>
  <c r="H30" s="1"/>
  <c r="I30" s="1"/>
  <c r="G31"/>
  <c r="H31" s="1"/>
  <c r="I31" s="1"/>
  <c r="G27"/>
  <c r="H27" s="1"/>
  <c r="I27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G19"/>
  <c r="H19" s="1"/>
  <c r="I19" s="1"/>
  <c r="G20"/>
  <c r="H20" s="1"/>
  <c r="I20" s="1"/>
  <c r="G21"/>
  <c r="H21" s="1"/>
  <c r="I21" s="1"/>
  <c r="G22"/>
  <c r="H22" s="1"/>
  <c r="I22" s="1"/>
  <c r="G23"/>
  <c r="H23" s="1"/>
  <c r="I23" s="1"/>
  <c r="G24"/>
  <c r="H24" s="1"/>
  <c r="I24" s="1"/>
  <c r="G25"/>
  <c r="H25" s="1"/>
  <c r="I25" s="1"/>
  <c r="G26"/>
  <c r="H26" s="1"/>
  <c r="I26" s="1"/>
  <c r="G13"/>
  <c r="H13" s="1"/>
  <c r="I13" s="1"/>
  <c r="C9" i="3"/>
  <c r="F24" i="1"/>
  <c r="G24"/>
  <c r="G3" i="18" l="1"/>
  <c r="G4"/>
  <c r="M23" i="1" l="1"/>
  <c r="M24"/>
  <c r="G23"/>
  <c r="F23"/>
  <c r="F97"/>
  <c r="G97"/>
  <c r="F96"/>
  <c r="G96"/>
  <c r="K78"/>
  <c r="L13" i="23" l="1"/>
  <c r="L8" s="1"/>
  <c r="K85" i="1"/>
  <c r="G39" i="5"/>
  <c r="G29"/>
  <c r="K73" i="1" l="1"/>
  <c r="P69" i="23" l="1"/>
  <c r="G95" i="1"/>
  <c r="F95"/>
  <c r="G22"/>
  <c r="F22"/>
  <c r="M22"/>
  <c r="M97"/>
  <c r="B161" s="1"/>
  <c r="M96"/>
  <c r="K80"/>
  <c r="K59" l="1"/>
  <c r="K37" l="1"/>
  <c r="M94"/>
  <c r="M95"/>
  <c r="G94"/>
  <c r="F94"/>
  <c r="M21"/>
  <c r="G21"/>
  <c r="F21"/>
  <c r="G11" i="18" l="1"/>
  <c r="H11" s="1"/>
  <c r="I11" s="1"/>
  <c r="G92" i="1"/>
  <c r="G93"/>
  <c r="F93"/>
  <c r="M93"/>
  <c r="F92"/>
  <c r="M92"/>
  <c r="G10" i="18" l="1"/>
  <c r="H10" l="1"/>
  <c r="I10" s="1"/>
  <c r="G47" i="5"/>
  <c r="G28"/>
  <c r="G19"/>
  <c r="G20"/>
  <c r="G21"/>
  <c r="G38"/>
  <c r="G7" i="18" l="1"/>
  <c r="G8"/>
  <c r="H8" s="1"/>
  <c r="G9"/>
  <c r="H9" s="1"/>
  <c r="G2"/>
  <c r="H4" l="1"/>
  <c r="I4" s="1"/>
  <c r="H3"/>
  <c r="I3" s="1"/>
  <c r="I8"/>
  <c r="H7"/>
  <c r="I9"/>
  <c r="H2"/>
  <c r="I2" l="1"/>
  <c r="I7"/>
  <c r="K70" i="1"/>
  <c r="K66"/>
  <c r="G91"/>
  <c r="F91"/>
  <c r="M91"/>
  <c r="M20"/>
  <c r="G20"/>
  <c r="F20"/>
  <c r="G90" l="1"/>
  <c r="F90"/>
  <c r="M90"/>
  <c r="C53" i="3" l="1"/>
  <c r="M19" i="1"/>
  <c r="G19"/>
  <c r="F19"/>
  <c r="G89"/>
  <c r="F89"/>
  <c r="M89"/>
  <c r="G88" l="1"/>
  <c r="F88"/>
  <c r="M88"/>
  <c r="M18"/>
  <c r="G18"/>
  <c r="F18"/>
  <c r="K50"/>
  <c r="K17"/>
  <c r="G87" l="1"/>
  <c r="F87"/>
  <c r="M87"/>
  <c r="F49" i="5" l="1"/>
  <c r="E49"/>
  <c r="D65" i="23"/>
  <c r="D31" s="1"/>
  <c r="G46" i="5"/>
  <c r="G45"/>
  <c r="G44"/>
  <c r="F40"/>
  <c r="E40"/>
  <c r="G37"/>
  <c r="G36"/>
  <c r="G35"/>
  <c r="G32"/>
  <c r="G31"/>
  <c r="F30"/>
  <c r="E30"/>
  <c r="G27"/>
  <c r="G26"/>
  <c r="G25"/>
  <c r="G24"/>
  <c r="G18"/>
  <c r="G17"/>
  <c r="F16"/>
  <c r="E16"/>
  <c r="G15"/>
  <c r="G14"/>
  <c r="G30" l="1"/>
  <c r="G34"/>
  <c r="G16"/>
  <c r="G40"/>
  <c r="G49"/>
  <c r="G23"/>
  <c r="F65" i="23" l="1"/>
  <c r="F31" s="1"/>
  <c r="G51" i="5"/>
  <c r="G86" i="1"/>
  <c r="F86"/>
  <c r="M86"/>
  <c r="K16" l="1"/>
  <c r="G85" l="1"/>
  <c r="F85"/>
  <c r="M85"/>
  <c r="K12"/>
  <c r="K77" l="1"/>
  <c r="M17"/>
  <c r="G17"/>
  <c r="F17"/>
  <c r="G69" i="23" l="1"/>
  <c r="G84" i="1"/>
  <c r="F84"/>
  <c r="M84"/>
  <c r="C166" s="1"/>
  <c r="G16" l="1"/>
  <c r="F16"/>
  <c r="M16"/>
  <c r="G83"/>
  <c r="F83"/>
  <c r="M83"/>
  <c r="K74"/>
  <c r="K72" l="1"/>
  <c r="G82"/>
  <c r="F82"/>
  <c r="M82"/>
  <c r="G81" l="1"/>
  <c r="F81"/>
  <c r="M81"/>
  <c r="K57"/>
  <c r="K13"/>
  <c r="K49"/>
  <c r="G80" l="1"/>
  <c r="F80"/>
  <c r="M80"/>
  <c r="K60" l="1"/>
  <c r="K71"/>
  <c r="M79"/>
  <c r="G79"/>
  <c r="F79"/>
  <c r="M78"/>
  <c r="G78"/>
  <c r="F78"/>
  <c r="G76" l="1"/>
  <c r="F76"/>
  <c r="M76"/>
  <c r="F77"/>
  <c r="M77"/>
  <c r="G77"/>
  <c r="K68"/>
  <c r="K65" l="1"/>
  <c r="K55"/>
  <c r="H69" i="23" l="1"/>
  <c r="G75" i="1"/>
  <c r="F75"/>
  <c r="M75"/>
  <c r="E11" i="6" l="1"/>
  <c r="E8"/>
  <c r="M74" i="1"/>
  <c r="G74"/>
  <c r="F74"/>
  <c r="M73"/>
  <c r="G73"/>
  <c r="F73"/>
  <c r="M72"/>
  <c r="G72"/>
  <c r="F72" l="1"/>
  <c r="M71"/>
  <c r="G71"/>
  <c r="F71"/>
  <c r="M70"/>
  <c r="F70"/>
  <c r="M69"/>
  <c r="F69"/>
  <c r="M68"/>
  <c r="G68"/>
  <c r="F68"/>
  <c r="M67" l="1"/>
  <c r="G67"/>
  <c r="F67"/>
  <c r="M66"/>
  <c r="F66" l="1"/>
  <c r="M65"/>
  <c r="G65" l="1"/>
  <c r="F65"/>
  <c r="K64"/>
  <c r="M64" s="1"/>
  <c r="G64"/>
  <c r="F64"/>
  <c r="M63"/>
  <c r="B167" l="1"/>
  <c r="G63"/>
  <c r="F63"/>
  <c r="M62"/>
  <c r="G62"/>
  <c r="F62"/>
  <c r="M61"/>
  <c r="F61"/>
  <c r="M60"/>
  <c r="F60"/>
  <c r="M59"/>
  <c r="G59"/>
  <c r="F59"/>
  <c r="K58"/>
  <c r="M58" s="1"/>
  <c r="F58"/>
  <c r="M57"/>
  <c r="F57"/>
  <c r="M56"/>
  <c r="F56"/>
  <c r="M55"/>
  <c r="F55"/>
  <c r="M54"/>
  <c r="F54"/>
  <c r="M53"/>
  <c r="F53"/>
  <c r="M52"/>
  <c r="G52"/>
  <c r="F52" l="1"/>
  <c r="K51"/>
  <c r="M51" s="1"/>
  <c r="F51"/>
  <c r="M50"/>
  <c r="G50"/>
  <c r="F50"/>
  <c r="M49"/>
  <c r="G49"/>
  <c r="F49" l="1"/>
  <c r="K48"/>
  <c r="M48" s="1"/>
  <c r="G48"/>
  <c r="F48"/>
  <c r="M47"/>
  <c r="G47"/>
  <c r="F47"/>
  <c r="M46"/>
  <c r="G46"/>
  <c r="F46"/>
  <c r="M45"/>
  <c r="F45"/>
  <c r="M44"/>
  <c r="F44"/>
  <c r="K43"/>
  <c r="M43" s="1"/>
  <c r="F43"/>
  <c r="K42" l="1"/>
  <c r="M42" s="1"/>
  <c r="F42"/>
  <c r="M41"/>
  <c r="F41"/>
  <c r="K40"/>
  <c r="M40" s="1"/>
  <c r="F40"/>
  <c r="M39"/>
  <c r="K39"/>
  <c r="F39"/>
  <c r="M38"/>
  <c r="F38"/>
  <c r="M37"/>
  <c r="F37"/>
  <c r="K36" l="1"/>
  <c r="M36" s="1"/>
  <c r="F36"/>
  <c r="M35"/>
  <c r="G35"/>
  <c r="F35"/>
  <c r="M15"/>
  <c r="F15"/>
  <c r="M14"/>
  <c r="F14"/>
  <c r="M13"/>
  <c r="F13"/>
  <c r="M12"/>
  <c r="G12"/>
  <c r="F12"/>
  <c r="M11"/>
  <c r="G11"/>
  <c r="F11"/>
  <c r="K10"/>
  <c r="M10" s="1"/>
  <c r="C167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O69" i="23" l="1"/>
  <c r="N69" l="1"/>
  <c r="M69"/>
  <c r="I69" l="1"/>
  <c r="I72" s="1"/>
  <c r="D69"/>
  <c r="F69" l="1"/>
  <c r="F72" s="1"/>
  <c r="E69"/>
  <c r="B69"/>
  <c r="K69"/>
  <c r="J69" l="1"/>
  <c r="C69"/>
  <c r="C72" s="1"/>
  <c r="L69"/>
</calcChain>
</file>

<file path=xl/comments1.xml><?xml version="1.0" encoding="utf-8"?>
<comments xmlns="http://schemas.openxmlformats.org/spreadsheetml/2006/main">
  <authors>
    <author>AA</author>
  </authors>
  <commentList>
    <comment ref="D28" authorId="0">
      <text>
        <r>
          <rPr>
            <b/>
            <sz val="9"/>
            <color indexed="81"/>
            <rFont val="Tahoma"/>
            <family val="2"/>
          </rPr>
          <t>32680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38320</t>
        </r>
      </text>
    </comment>
  </commentList>
</comments>
</file>

<file path=xl/sharedStrings.xml><?xml version="1.0" encoding="utf-8"?>
<sst xmlns="http://schemas.openxmlformats.org/spreadsheetml/2006/main" count="4351" uniqueCount="1326">
  <si>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</si>
  <si>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</si>
  <si>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</si>
  <si>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</si>
  <si>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</si>
  <si>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</si>
  <si>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</si>
  <si>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</si>
  <si>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</si>
  <si>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</si>
  <si>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</si>
  <si>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</si>
  <si>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</si>
  <si>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</si>
  <si>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</si>
  <si>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</si>
  <si>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</si>
  <si>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</si>
  <si>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</si>
  <si>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</si>
  <si>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</si>
  <si>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</si>
  <si>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</si>
  <si>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</si>
  <si>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</si>
  <si>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</si>
  <si>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</si>
  <si>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</si>
  <si>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</si>
  <si>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</si>
  <si>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</si>
  <si>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</si>
  <si>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</si>
  <si>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</si>
  <si>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</si>
  <si>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</si>
  <si>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</si>
  <si>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</si>
  <si>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</si>
  <si>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</si>
  <si>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</si>
  <si>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</si>
  <si>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</si>
  <si>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</si>
  <si>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</si>
  <si>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</si>
  <si>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</si>
  <si>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</si>
  <si>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</si>
  <si>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</si>
  <si>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</si>
  <si>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</si>
  <si>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</si>
  <si>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</si>
  <si>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</si>
  <si>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</si>
  <si>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</si>
  <si>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</si>
  <si>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</si>
  <si>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</si>
  <si>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</si>
  <si>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</si>
  <si>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</si>
  <si>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</si>
  <si>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</si>
  <si>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</si>
  <si>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</si>
  <si>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</si>
  <si>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</si>
  <si>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</si>
  <si>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</si>
  <si>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</si>
  <si>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</si>
  <si>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</si>
  <si>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</si>
  <si>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</si>
  <si>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</si>
  <si>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</si>
  <si>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</si>
  <si>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</si>
  <si>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</si>
  <si>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</si>
  <si>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</si>
  <si>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</si>
  <si>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</si>
  <si>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</si>
  <si>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</si>
  <si>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</si>
  <si>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</si>
  <si>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</si>
  <si>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</si>
  <si>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</si>
  <si>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</si>
  <si>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</si>
  <si>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</si>
  <si>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</si>
  <si>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</si>
  <si>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</si>
  <si>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</si>
  <si>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</si>
  <si>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</si>
  <si>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</si>
  <si>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</si>
  <si>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</si>
  <si>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</si>
  <si>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</si>
  <si>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</si>
  <si>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</si>
  <si>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</si>
  <si>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</si>
  <si>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</si>
  <si>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</si>
  <si>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</si>
  <si>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</si>
  <si>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</si>
  <si>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</si>
  <si>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</si>
  <si>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</si>
  <si>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</si>
  <si>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</si>
  <si>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</si>
  <si>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</si>
  <si>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</si>
  <si>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</si>
  <si>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</si>
  <si>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</si>
  <si>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</si>
  <si>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</si>
  <si>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</si>
  <si>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</si>
  <si>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</si>
  <si>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</si>
  <si>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</si>
  <si>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</si>
  <si>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</si>
  <si>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</si>
  <si>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</si>
  <si>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</si>
  <si>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VENTE DEVISE</t>
  </si>
  <si>
    <t>Biasin</t>
  </si>
  <si>
    <t>FN160046</t>
  </si>
  <si>
    <t>FN160050</t>
  </si>
  <si>
    <t>FN160051</t>
  </si>
  <si>
    <t>FN160045</t>
  </si>
  <si>
    <t>FN160054</t>
  </si>
  <si>
    <t>FN160053</t>
  </si>
  <si>
    <t>FN160055</t>
  </si>
  <si>
    <t>FN160052</t>
  </si>
  <si>
    <t>FN160058</t>
  </si>
  <si>
    <t>FN160059</t>
  </si>
  <si>
    <t>FN160060</t>
  </si>
  <si>
    <t>EL HARAMAIN</t>
  </si>
  <si>
    <t>FN160066</t>
  </si>
  <si>
    <t>FN160065</t>
  </si>
  <si>
    <t>FN160067</t>
  </si>
  <si>
    <t>FN160068</t>
  </si>
  <si>
    <t>Metalliance</t>
  </si>
  <si>
    <t>FN160069</t>
  </si>
  <si>
    <t>FN160072</t>
  </si>
  <si>
    <t>FN160075</t>
  </si>
  <si>
    <t>FN160076</t>
  </si>
  <si>
    <t>EX160014</t>
  </si>
  <si>
    <t>FN160077</t>
  </si>
  <si>
    <t>Credit de gestion: FED</t>
  </si>
  <si>
    <t>EX160015</t>
  </si>
  <si>
    <t>EURO MEG</t>
  </si>
  <si>
    <t>FN160082</t>
  </si>
  <si>
    <t>FN160084</t>
  </si>
  <si>
    <t>TOTAL 2017</t>
  </si>
  <si>
    <t>REGLEMENT FINAL</t>
  </si>
  <si>
    <t>Total 12/2017</t>
  </si>
  <si>
    <t>AU 31/12/2016</t>
  </si>
  <si>
    <t>Sorfin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</si>
  <si>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</si>
  <si>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</si>
  <si>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</si>
  <si>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</si>
  <si>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</si>
  <si>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</si>
  <si>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</si>
  <si>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$ MEG</t>
  </si>
  <si>
    <t>EX170003</t>
  </si>
  <si>
    <t>FN170008</t>
  </si>
  <si>
    <t>Date de Liv</t>
  </si>
  <si>
    <t>Desc Art</t>
  </si>
  <si>
    <t>UN</t>
  </si>
  <si>
    <t>Qté Liv / STA NOUR</t>
  </si>
  <si>
    <t>Px UN / TND</t>
  </si>
  <si>
    <t>Société</t>
  </si>
  <si>
    <t>Px Tot / TND</t>
  </si>
  <si>
    <t>TVA 18%</t>
  </si>
  <si>
    <t>Tot. TTC</t>
  </si>
  <si>
    <t>Mode de Paiement</t>
  </si>
  <si>
    <t>Réf. Pièce de Règ</t>
  </si>
  <si>
    <t>Banque</t>
  </si>
  <si>
    <t>KG</t>
  </si>
  <si>
    <t>CH</t>
  </si>
  <si>
    <t>VIEUX PLOMB</t>
  </si>
  <si>
    <t>ETAIN</t>
  </si>
  <si>
    <t>FN170013</t>
  </si>
  <si>
    <t>FN170014</t>
  </si>
  <si>
    <t>EX170004</t>
  </si>
  <si>
    <t>FN170017</t>
  </si>
  <si>
    <t>INOX</t>
  </si>
  <si>
    <t>FN170020</t>
  </si>
  <si>
    <t xml:space="preserve"> </t>
  </si>
  <si>
    <t>HEMP</t>
  </si>
  <si>
    <t>HEMPE</t>
  </si>
  <si>
    <t>DECHET BATTERIE</t>
  </si>
  <si>
    <t>EX170005</t>
  </si>
  <si>
    <t>FN170024</t>
  </si>
  <si>
    <t>FN170025</t>
  </si>
  <si>
    <t>EX170006</t>
  </si>
  <si>
    <t>EX170007</t>
  </si>
  <si>
    <t xml:space="preserve">HEMPE </t>
  </si>
  <si>
    <t>FH170001</t>
  </si>
  <si>
    <t>FH170002</t>
  </si>
  <si>
    <t>FH170003</t>
  </si>
  <si>
    <t>FH170004</t>
  </si>
  <si>
    <t>Z I</t>
  </si>
  <si>
    <t>ALPHA</t>
  </si>
  <si>
    <t>FED</t>
  </si>
  <si>
    <t>FN170027</t>
  </si>
  <si>
    <t>Plomb local</t>
  </si>
  <si>
    <t>Placement</t>
  </si>
  <si>
    <t>CEMT</t>
  </si>
  <si>
    <t>TAUX CNY/TND</t>
  </si>
  <si>
    <t>CNY</t>
  </si>
  <si>
    <t>FH170005</t>
  </si>
  <si>
    <t>FN170030</t>
  </si>
  <si>
    <t>FH170006</t>
  </si>
  <si>
    <t>FN170031</t>
  </si>
  <si>
    <t>FH170007</t>
  </si>
  <si>
    <t>FH170008</t>
  </si>
  <si>
    <t>FH170009</t>
  </si>
  <si>
    <t>EX170008</t>
  </si>
  <si>
    <t>FN170038</t>
  </si>
  <si>
    <t>FH170010</t>
  </si>
  <si>
    <t>AGENCE</t>
  </si>
  <si>
    <t>FN170039</t>
  </si>
  <si>
    <t>FH170011</t>
  </si>
  <si>
    <t>FN170040</t>
  </si>
  <si>
    <t>FN170041</t>
  </si>
  <si>
    <t>DEPENSE</t>
  </si>
  <si>
    <t>NOUR HEMP</t>
  </si>
  <si>
    <t>MECONDOR</t>
  </si>
  <si>
    <t>HAZEM CHTOUROU</t>
  </si>
  <si>
    <t>STE</t>
  </si>
  <si>
    <t>FACTURE</t>
  </si>
  <si>
    <t>KAIS TAYACHI / GHEDIFI ABDESSATAR</t>
  </si>
  <si>
    <t>kg</t>
  </si>
  <si>
    <t>CHQ</t>
  </si>
  <si>
    <t>SMS</t>
  </si>
  <si>
    <t>FODEC 1%</t>
  </si>
  <si>
    <t>SOTRAM</t>
  </si>
  <si>
    <t>TRT</t>
  </si>
  <si>
    <t>Date de fact</t>
  </si>
  <si>
    <t>Qté Facturé</t>
  </si>
  <si>
    <t>RECU</t>
  </si>
  <si>
    <t>SOTRAPRO</t>
  </si>
  <si>
    <t>FH170012</t>
  </si>
  <si>
    <t>FN170044</t>
  </si>
  <si>
    <t>FN170046</t>
  </si>
  <si>
    <t>AUGMENTATION CAPITAL</t>
  </si>
  <si>
    <t>MONTANT RECU</t>
  </si>
  <si>
    <t>FN170047</t>
  </si>
  <si>
    <t>COUPEAU DE FER</t>
  </si>
  <si>
    <t>EX170009</t>
  </si>
  <si>
    <t>FN170048</t>
  </si>
  <si>
    <t>FH170013</t>
  </si>
  <si>
    <t>DARAMIC</t>
  </si>
  <si>
    <t>FN170049</t>
  </si>
  <si>
    <t>ENERTECH</t>
  </si>
  <si>
    <t>FN170050</t>
  </si>
  <si>
    <t>EX170010</t>
  </si>
  <si>
    <t>BILLET DE TRESORERIE</t>
  </si>
  <si>
    <t>ETAIN (80%)</t>
  </si>
  <si>
    <t>FN170057</t>
  </si>
  <si>
    <t>FN170058</t>
  </si>
  <si>
    <t>FH170014</t>
  </si>
  <si>
    <t>FH170015</t>
  </si>
  <si>
    <t>FN170059</t>
  </si>
  <si>
    <t>FN170060</t>
  </si>
  <si>
    <t>EX170011</t>
  </si>
  <si>
    <t>FH170016</t>
  </si>
  <si>
    <t>FN170061</t>
  </si>
  <si>
    <t>INOX (MACHINE)</t>
  </si>
  <si>
    <t>FH170017</t>
  </si>
  <si>
    <t>FN180001</t>
  </si>
  <si>
    <t>FN180002</t>
  </si>
  <si>
    <t>FH180001</t>
  </si>
  <si>
    <t>kais tayachi</t>
  </si>
  <si>
    <t>BATTERIEDIENST</t>
  </si>
  <si>
    <t>FH180002</t>
  </si>
  <si>
    <t>ECHEANCIER 2018</t>
  </si>
  <si>
    <t>TOTAL 2018</t>
  </si>
  <si>
    <t>Total 01/2018</t>
  </si>
  <si>
    <t>Total 03/2018</t>
  </si>
  <si>
    <t>Total 06/2018</t>
  </si>
  <si>
    <t>Total 07/2018</t>
  </si>
  <si>
    <t>Total 09/2018</t>
  </si>
  <si>
    <t>Total 12/2018</t>
  </si>
  <si>
    <t>CRASSE</t>
  </si>
  <si>
    <t>FN180005</t>
  </si>
  <si>
    <t>ACCUMA 08</t>
  </si>
  <si>
    <t>ACCUMA 09</t>
  </si>
  <si>
    <t>ACCUMA 10</t>
  </si>
  <si>
    <t>ACCUMA 11</t>
  </si>
  <si>
    <t>ghedifi</t>
  </si>
  <si>
    <t>ACCUMA 12</t>
  </si>
  <si>
    <t>RESTITUTION TVA</t>
  </si>
  <si>
    <t>NOURAKKUMULATOREN</t>
  </si>
  <si>
    <t>FN180008</t>
  </si>
  <si>
    <t>FN180007</t>
  </si>
  <si>
    <t>NOUR Allemagne</t>
  </si>
  <si>
    <t>SOLDE KAIS 01-02 / 2018</t>
  </si>
  <si>
    <t>SOLDE KAIS 03/2018</t>
  </si>
  <si>
    <t>VALDEC</t>
  </si>
  <si>
    <t>GHEDIFI</t>
  </si>
  <si>
    <t>EX180002</t>
  </si>
  <si>
    <t>EX180001</t>
  </si>
  <si>
    <t>ACCUMA 13</t>
  </si>
  <si>
    <t>ACCUMA 14</t>
  </si>
  <si>
    <t>ACCUMA 15</t>
  </si>
  <si>
    <t>ACCUMA 16</t>
  </si>
  <si>
    <t>ACCUMA 17</t>
  </si>
  <si>
    <t>FN180016</t>
  </si>
  <si>
    <t>FN180014</t>
  </si>
  <si>
    <t>TOTAL CRASSE</t>
  </si>
  <si>
    <t>TOTAL DECHET BATTERIE</t>
  </si>
  <si>
    <t>TOTAL ETAIN</t>
  </si>
  <si>
    <t>TOTAL VIEUX PLOMB</t>
  </si>
  <si>
    <t>REGLEMENT RECU</t>
  </si>
  <si>
    <t>RESTE A PAYER</t>
  </si>
  <si>
    <t>QUANTITE NON FACTURE</t>
  </si>
  <si>
    <t>ACCUMA 18</t>
  </si>
  <si>
    <t>ACCUMA 19</t>
  </si>
  <si>
    <t>ACCUMA 20</t>
  </si>
  <si>
    <t>FN180015</t>
  </si>
  <si>
    <t>Total 10/2018</t>
  </si>
  <si>
    <t>HEMPE 2</t>
  </si>
  <si>
    <t>OBLIGATION DOUANES</t>
  </si>
  <si>
    <t>FN180020</t>
  </si>
  <si>
    <t>FN180019</t>
  </si>
  <si>
    <t>FN180021</t>
  </si>
  <si>
    <t>ACCUMA 21</t>
  </si>
  <si>
    <t>SOVEMA</t>
  </si>
  <si>
    <t>NIZI</t>
  </si>
  <si>
    <t>WIRTZ</t>
  </si>
  <si>
    <t>COPLOSA</t>
  </si>
  <si>
    <t>Allemagne</t>
  </si>
  <si>
    <t>PRIME INVESTISSEMENT</t>
  </si>
  <si>
    <t>FN180022</t>
  </si>
  <si>
    <t>FN180026</t>
  </si>
  <si>
    <t>FN180025</t>
  </si>
  <si>
    <t>ALIMINIUM</t>
  </si>
  <si>
    <t>SOLDE au 28/06/2018</t>
  </si>
  <si>
    <t>1r05171</t>
  </si>
  <si>
    <t>STE ELECTRICIA AUTO</t>
  </si>
  <si>
    <t>4R12236</t>
  </si>
  <si>
    <t>BELEL HABIB</t>
  </si>
  <si>
    <t>3R18120</t>
  </si>
  <si>
    <t>STE MAHDIA AUTO</t>
  </si>
  <si>
    <t>4R15037</t>
  </si>
  <si>
    <t>ZOUARI FRERES</t>
  </si>
  <si>
    <t>3r18119</t>
  </si>
  <si>
    <t>STE BATTERY CENTER</t>
  </si>
  <si>
    <t>1r05192</t>
  </si>
  <si>
    <t>STE GLOBAL PIECES AUTOS</t>
  </si>
  <si>
    <t>1r02243</t>
  </si>
  <si>
    <t>STE CIPA</t>
  </si>
  <si>
    <t>4R12262</t>
  </si>
  <si>
    <t>STE SO CO PA</t>
  </si>
  <si>
    <t>1r02224</t>
  </si>
  <si>
    <t>MONCEF ZARRAGA</t>
  </si>
  <si>
    <t>1r02176</t>
  </si>
  <si>
    <t>ZIED ABDELMALEK</t>
  </si>
  <si>
    <t>4R13135</t>
  </si>
  <si>
    <t>STE L'HORIZON DE PIECES DE</t>
  </si>
  <si>
    <t>STE GHAMMAM ET CIE</t>
  </si>
  <si>
    <t>1R05166</t>
  </si>
  <si>
    <t>STE EL HAMDI PIECES.RECHANGE</t>
  </si>
  <si>
    <t>1r05211</t>
  </si>
  <si>
    <t>1r05166</t>
  </si>
  <si>
    <t>1r06020</t>
  </si>
  <si>
    <t>3R18119</t>
  </si>
  <si>
    <t>4R12104</t>
  </si>
  <si>
    <t>MOHAMED RACHED AMAMOU</t>
  </si>
  <si>
    <t>1r03169</t>
  </si>
  <si>
    <t>FAOUZI MECHRGUI</t>
  </si>
  <si>
    <t>1r06141</t>
  </si>
  <si>
    <t>SOCIETE MANNAI BATIMENT</t>
  </si>
  <si>
    <t>4R13028</t>
  </si>
  <si>
    <t>GENERALE ELECT.AUTOMOBILE</t>
  </si>
  <si>
    <t>1R01551</t>
  </si>
  <si>
    <t>ETS RACHED KALBOUSSI</t>
  </si>
  <si>
    <t>4R13083</t>
  </si>
  <si>
    <t>LAJNAF SALHA</t>
  </si>
  <si>
    <t>1r01573</t>
  </si>
  <si>
    <t>FATHI NAJJAR</t>
  </si>
  <si>
    <t>1r05071</t>
  </si>
  <si>
    <t>SOCIETE ULTRA SERVICE</t>
  </si>
  <si>
    <t>1r02185</t>
  </si>
  <si>
    <t>1r01551</t>
  </si>
  <si>
    <t>BEJI FAYCEL</t>
  </si>
  <si>
    <t>1r03074</t>
  </si>
  <si>
    <t>STE AVENIR AUTO</t>
  </si>
  <si>
    <t>1R01567</t>
  </si>
  <si>
    <t>STE PIECES.RECH.FRANCAISE</t>
  </si>
  <si>
    <t>1r01556</t>
  </si>
  <si>
    <t>1r06103</t>
  </si>
  <si>
    <t>1R03124</t>
  </si>
  <si>
    <t>SALIM AUTOS</t>
  </si>
  <si>
    <t>1R01495</t>
  </si>
  <si>
    <t>STE DES PIECES DE RECHANGE</t>
  </si>
  <si>
    <t>3R18384</t>
  </si>
  <si>
    <t>AHMED BEN ALI TEKAYA</t>
  </si>
  <si>
    <t>4R13116</t>
  </si>
  <si>
    <t>4R12257</t>
  </si>
  <si>
    <t>4R12228</t>
  </si>
  <si>
    <t>4R14056</t>
  </si>
  <si>
    <t>EL BARAKA VENTE PIECES</t>
  </si>
  <si>
    <t>4R14047</t>
  </si>
  <si>
    <t>BT SERVICES SURAL</t>
  </si>
  <si>
    <t>1r06146</t>
  </si>
  <si>
    <t>1r05042</t>
  </si>
  <si>
    <t>SOCIETE BOUJNAH</t>
  </si>
  <si>
    <t>1r02225</t>
  </si>
  <si>
    <t>ALI YAHYAOUI</t>
  </si>
  <si>
    <t>1r01161</t>
  </si>
  <si>
    <t>SOUFIANE MANNAI</t>
  </si>
  <si>
    <t>1R07047</t>
  </si>
  <si>
    <t>1r05173</t>
  </si>
  <si>
    <t>1r04105</t>
  </si>
  <si>
    <t>1R03163</t>
  </si>
  <si>
    <t>STE MAIS</t>
  </si>
  <si>
    <t>8R10052</t>
  </si>
  <si>
    <t>OUESLATI LOTFI B BELGACEM</t>
  </si>
  <si>
    <t>8R09054</t>
  </si>
  <si>
    <t>MAKREM ZAMMALI</t>
  </si>
  <si>
    <t>8R09020</t>
  </si>
  <si>
    <t>ALI BEN AHMED CHAABANI</t>
  </si>
  <si>
    <t>7R16027</t>
  </si>
  <si>
    <t>STE B.ABDESSALEM PIECES AUTO</t>
  </si>
  <si>
    <t>6R21178</t>
  </si>
  <si>
    <t>STE KRIAA GENERALE PIECES</t>
  </si>
  <si>
    <t>3R18368</t>
  </si>
  <si>
    <t>GUIDARA ABDALLAH</t>
  </si>
  <si>
    <t>3R18264</t>
  </si>
  <si>
    <t>MOHAMED KCHAOU</t>
  </si>
  <si>
    <t>3R18254</t>
  </si>
  <si>
    <t>COPI  AUTOS</t>
  </si>
  <si>
    <t>3R18061</t>
  </si>
  <si>
    <t>STE COMPTOIR NORD DE PIECES</t>
  </si>
  <si>
    <t>1R06136</t>
  </si>
  <si>
    <t>STE MED ALI DE PIECES DE</t>
  </si>
  <si>
    <t>1R05171</t>
  </si>
  <si>
    <t>JALEL BEN AHMED EL GABSI</t>
  </si>
  <si>
    <t>1R05103</t>
  </si>
  <si>
    <t>STE LEADER COMPTOIR AUTO</t>
  </si>
  <si>
    <t>1r03170</t>
  </si>
  <si>
    <t>HASSINI AHMED BEN MOHAMED</t>
  </si>
  <si>
    <t>1R03149</t>
  </si>
  <si>
    <t>1R02224</t>
  </si>
  <si>
    <t>BALTI TAREK</t>
  </si>
  <si>
    <t>1R01539</t>
  </si>
  <si>
    <t>COMPTOIR METOUIEN AUTOMOBILE</t>
  </si>
  <si>
    <t>1r01445</t>
  </si>
  <si>
    <t>6R23152</t>
  </si>
  <si>
    <t>BAHRI GNAOUI</t>
  </si>
  <si>
    <t>6R21179</t>
  </si>
  <si>
    <t>SIRAJ BEN ZINA</t>
  </si>
  <si>
    <t>3R18072</t>
  </si>
  <si>
    <t>STE JAMEL AUTO</t>
  </si>
  <si>
    <t>1r01509</t>
  </si>
  <si>
    <t>SOCIETE GENERAL DE PIECES</t>
  </si>
  <si>
    <t>3R18321</t>
  </si>
  <si>
    <t>1r02257</t>
  </si>
  <si>
    <t>MEHREZ BEN MOHAMED GUIZANI</t>
  </si>
  <si>
    <t>HAJJAJI NASREDDINE</t>
  </si>
  <si>
    <t>8R10044</t>
  </si>
  <si>
    <t>1R06020</t>
  </si>
  <si>
    <t>SO.TU.PA</t>
  </si>
  <si>
    <t>1R01504</t>
  </si>
  <si>
    <t>SOSAPIA</t>
  </si>
  <si>
    <t>3R18406</t>
  </si>
  <si>
    <t>STE CARTAGE AUTO</t>
  </si>
  <si>
    <t>4R13139</t>
  </si>
  <si>
    <t>STUFEME</t>
  </si>
  <si>
    <t>1s02073</t>
  </si>
  <si>
    <t>STE KZ PIECES AUTOS</t>
  </si>
  <si>
    <t>3R18382</t>
  </si>
  <si>
    <t>MOHAMED AMINE BEN AMOR</t>
  </si>
  <si>
    <t>3R18375</t>
  </si>
  <si>
    <t>1r02232</t>
  </si>
  <si>
    <t>1r04144</t>
  </si>
  <si>
    <t>7R20002</t>
  </si>
  <si>
    <t>STE SUD EQUIPEMENT MAR</t>
  </si>
  <si>
    <t>6r23150</t>
  </si>
  <si>
    <t>STE EQUIP.INDUSTRIEL &amp;</t>
  </si>
  <si>
    <t>6R23155</t>
  </si>
  <si>
    <t>MOHAMED ZARAGA  Z P A</t>
  </si>
  <si>
    <t>1r02199</t>
  </si>
  <si>
    <t>1R02199</t>
  </si>
  <si>
    <t>SOCIETE WORLD PARTS</t>
  </si>
  <si>
    <t>4R13115</t>
  </si>
  <si>
    <t>TAHER MESTIRI</t>
  </si>
  <si>
    <t>4R12231</t>
  </si>
  <si>
    <t>HAMIDA SHILI</t>
  </si>
  <si>
    <t>4R14039</t>
  </si>
  <si>
    <t>STE DITRI-FILTRE</t>
  </si>
  <si>
    <t>4R12252</t>
  </si>
  <si>
    <t>3R18367</t>
  </si>
  <si>
    <t>KHALED DRIDI</t>
  </si>
  <si>
    <t>1r02193</t>
  </si>
  <si>
    <t>6R23118</t>
  </si>
  <si>
    <t>SAMIR BEN SLIMEN AOUADI</t>
  </si>
  <si>
    <t>8R09060</t>
  </si>
  <si>
    <t>SOUADI ABDELKADER</t>
  </si>
  <si>
    <t>8R09023</t>
  </si>
  <si>
    <t>FIDHA AMINE B FATHI B HEDI</t>
  </si>
  <si>
    <t>8R08037</t>
  </si>
  <si>
    <t>YACOUBI BEN MOULDI EL ABED</t>
  </si>
  <si>
    <t>7r19018</t>
  </si>
  <si>
    <t>ABICHOU ABDELFATTAH</t>
  </si>
  <si>
    <t>6R23098</t>
  </si>
  <si>
    <t>LAHMAR KAIES</t>
  </si>
  <si>
    <t>1r01550</t>
  </si>
  <si>
    <t>STE ARIJ PIECES AUTOS</t>
  </si>
  <si>
    <t>1r02233</t>
  </si>
  <si>
    <t>STE ARFA AUTO PLUS</t>
  </si>
  <si>
    <t>1r02231</t>
  </si>
  <si>
    <t>STE MBABET AUTO</t>
  </si>
  <si>
    <t>6R21169</t>
  </si>
  <si>
    <t>STE MDIALE PCE AUTOMOBILES</t>
  </si>
  <si>
    <t>1r05195</t>
  </si>
  <si>
    <t>4R13134</t>
  </si>
  <si>
    <t>STE CDTPR</t>
  </si>
  <si>
    <t>3R18234</t>
  </si>
  <si>
    <t>SMAOUI MOHSEN</t>
  </si>
  <si>
    <t>3R18207</t>
  </si>
  <si>
    <t>STE MEDHIOUB PIECES AUTOS</t>
  </si>
  <si>
    <t>1r03124</t>
  </si>
  <si>
    <t>STE SUD MOTORS SRVIVES AUTO</t>
  </si>
  <si>
    <t>1r02245</t>
  </si>
  <si>
    <t>3R18401</t>
  </si>
  <si>
    <t>6R21173</t>
  </si>
  <si>
    <t>ETS. JEDIDI RIADH</t>
  </si>
  <si>
    <t>4R12147</t>
  </si>
  <si>
    <t>COMP.GENERAL.PIECES.RECHANGE</t>
  </si>
  <si>
    <t>3R18388</t>
  </si>
  <si>
    <t>SOZEM</t>
  </si>
  <si>
    <t>3R18354</t>
  </si>
  <si>
    <t>STE COGEP AUTO</t>
  </si>
  <si>
    <t>3R18039</t>
  </si>
  <si>
    <t>STE TUNNE VEHICULES INDUST</t>
  </si>
  <si>
    <t>1r03161</t>
  </si>
  <si>
    <t>1R01556</t>
  </si>
  <si>
    <t>AJIMI YASSINE  CYBER</t>
  </si>
  <si>
    <t>1r01292</t>
  </si>
  <si>
    <t>ANIS BEN KHALIPHA RHAIEM</t>
  </si>
  <si>
    <t>3R15038</t>
  </si>
  <si>
    <t>SOCIETE PIECE AUTO ESSAID</t>
  </si>
  <si>
    <t>1R06103</t>
  </si>
  <si>
    <t>1R03074</t>
  </si>
  <si>
    <t>STE HSOUNA FRIKHA ET FILS</t>
  </si>
  <si>
    <t>3R18274</t>
  </si>
  <si>
    <t>STE SPAMM</t>
  </si>
  <si>
    <t>3R18349</t>
  </si>
  <si>
    <t>4R14071</t>
  </si>
  <si>
    <t>4R12212</t>
  </si>
  <si>
    <t>3R18396</t>
  </si>
  <si>
    <t>ETAB. FARHAT BOUJELBAN</t>
  </si>
  <si>
    <t>3R18101</t>
  </si>
  <si>
    <t>1r05203</t>
  </si>
  <si>
    <t>RAMEH JAMILA BEN SADOK</t>
  </si>
  <si>
    <t>1r01492</t>
  </si>
  <si>
    <t>1r05194</t>
  </si>
  <si>
    <t>STE OCTOBUS</t>
  </si>
  <si>
    <t>1R01561</t>
  </si>
  <si>
    <t>SOCIETE EL HOUIOUI</t>
  </si>
  <si>
    <t>6R21145</t>
  </si>
  <si>
    <t>ROJDI BEN MOHAMED KRAOUII</t>
  </si>
  <si>
    <t>8R10040</t>
  </si>
  <si>
    <t>KOUKI FAOUZI</t>
  </si>
  <si>
    <t>8R09044</t>
  </si>
  <si>
    <t>STE GENERALE AGRICOLE</t>
  </si>
  <si>
    <t>7R16078</t>
  </si>
  <si>
    <t>ZAMMOURIA FATMA EPS MANSOURI</t>
  </si>
  <si>
    <t>6R23146</t>
  </si>
  <si>
    <t>HAOUARI CHOKRI</t>
  </si>
  <si>
    <t>6R23143</t>
  </si>
  <si>
    <t>STE CHARGUI FILS &amp; COMPANIES</t>
  </si>
  <si>
    <t>4R13141</t>
  </si>
  <si>
    <t>STE.MAGHR. DE PIECES DE RECH</t>
  </si>
  <si>
    <t>STE SLIM VENTE PIECES AUTOS</t>
  </si>
  <si>
    <t>3R18380</t>
  </si>
  <si>
    <t>STE IDEALE PIECES AUTOS SIPA</t>
  </si>
  <si>
    <t>3r18367</t>
  </si>
  <si>
    <t>WAJDI BOUZGENDA</t>
  </si>
  <si>
    <t>3R18123</t>
  </si>
  <si>
    <t>ISMAIL TOUNSI</t>
  </si>
  <si>
    <t>3R18104</t>
  </si>
  <si>
    <t>CHHIMI HENDA</t>
  </si>
  <si>
    <t>1R06160</t>
  </si>
  <si>
    <t>SOCIETE AUTOS PIECES</t>
  </si>
  <si>
    <t>1R06038</t>
  </si>
  <si>
    <t>1R05192</t>
  </si>
  <si>
    <t>STE ELECTRIC AUTO NABEUL</t>
  </si>
  <si>
    <t>1R05191</t>
  </si>
  <si>
    <t>MAJED BEN MED HAMMAMI</t>
  </si>
  <si>
    <t>1r05181</t>
  </si>
  <si>
    <t>STE. COMMERCIALE DES PIECES</t>
  </si>
  <si>
    <t>1R05042</t>
  </si>
  <si>
    <t>1r03149</t>
  </si>
  <si>
    <t>SOCIETE HNIA</t>
  </si>
  <si>
    <t>1r03131</t>
  </si>
  <si>
    <t>1R02225</t>
  </si>
  <si>
    <t>CHEDLY AOUINI</t>
  </si>
  <si>
    <t>1r02141</t>
  </si>
  <si>
    <t>MERIEM ABDELKADER</t>
  </si>
  <si>
    <t>1R01473</t>
  </si>
  <si>
    <t>STE GLE DE FOURNITURE</t>
  </si>
  <si>
    <t>1R01386</t>
  </si>
  <si>
    <t>SOCIETE ZARRAD ET CIE</t>
  </si>
  <si>
    <t>4R13041</t>
  </si>
  <si>
    <t>DOUIK PIECES AUTOS</t>
  </si>
  <si>
    <t>4R12177</t>
  </si>
  <si>
    <t>4R14062</t>
  </si>
  <si>
    <t>STE ALFATIMYA CARS</t>
  </si>
  <si>
    <t>4R15052</t>
  </si>
  <si>
    <t>STE COMPTOIR HADROUG</t>
  </si>
  <si>
    <t>4R13140</t>
  </si>
  <si>
    <t>BOUAZIZ SLAH</t>
  </si>
  <si>
    <t>1r07041</t>
  </si>
  <si>
    <t>SOUHEIL TEKAYA</t>
  </si>
  <si>
    <t>1r05209</t>
  </si>
  <si>
    <t>ALI BEN BRAHIM HAMMAMI</t>
  </si>
  <si>
    <t>1r09019</t>
  </si>
  <si>
    <t>8R08045</t>
  </si>
  <si>
    <t>STE AL BARAKA EQUIP.GE</t>
  </si>
  <si>
    <t>7R22039</t>
  </si>
  <si>
    <t>MEJDI NAJET BENT IBRAH</t>
  </si>
  <si>
    <t>7r19070</t>
  </si>
  <si>
    <t>RAMZI B RAHMANI B HJ HAMMADI</t>
  </si>
  <si>
    <t>8R08041</t>
  </si>
  <si>
    <t>STE MARIEM AGRICOLE</t>
  </si>
  <si>
    <t>8R08040</t>
  </si>
  <si>
    <t>RIDHA BEN ALI MENSI</t>
  </si>
  <si>
    <t>8R08026</t>
  </si>
  <si>
    <t>CHENAINA HOUCINE B AHMED</t>
  </si>
  <si>
    <t>6r24019</t>
  </si>
  <si>
    <t>STE M W AUTO'S</t>
  </si>
  <si>
    <t>6R23151</t>
  </si>
  <si>
    <t>STE SUD EQUIPEMENT MARITINE</t>
  </si>
  <si>
    <t>6R23150</t>
  </si>
  <si>
    <t>STATION LAVAGE MONGI B.HSAN</t>
  </si>
  <si>
    <t>4R15055</t>
  </si>
  <si>
    <t>IBRAHIM EL HEDI DIWANI</t>
  </si>
  <si>
    <t>4R14072</t>
  </si>
  <si>
    <t>PIECES AUTOS BEN ALAYA MED</t>
  </si>
  <si>
    <t>4R14007</t>
  </si>
  <si>
    <t>NEGGAZ MONGI</t>
  </si>
  <si>
    <t>4R13090</t>
  </si>
  <si>
    <t>STE MY CAR DISTRIBUTION</t>
  </si>
  <si>
    <t>SOCIETE DARDOUR ET FILS</t>
  </si>
  <si>
    <t>NEJIB GADHOUM</t>
  </si>
  <si>
    <t>4R12181</t>
  </si>
  <si>
    <t>STE RANEN.PIECES DE RECHANGE</t>
  </si>
  <si>
    <t>3R18389</t>
  </si>
  <si>
    <t>MAKNI HANEN</t>
  </si>
  <si>
    <t>3R18373</t>
  </si>
  <si>
    <t>KALLEL HATEM</t>
  </si>
  <si>
    <t>3R18317</t>
  </si>
  <si>
    <t>1r07047</t>
  </si>
  <si>
    <t>HELA FERJANI NEE AJMI</t>
  </si>
  <si>
    <t>1r06149</t>
  </si>
  <si>
    <t>SOCIETE EL BARAKA</t>
  </si>
  <si>
    <t>1R05213</t>
  </si>
  <si>
    <t>STE AFRICA DES PIECES AUTOS</t>
  </si>
  <si>
    <t>1r05186</t>
  </si>
  <si>
    <t>NOUREDDINE B MOHAMOUD KNIOUA</t>
  </si>
  <si>
    <t>1r05184</t>
  </si>
  <si>
    <t>AYMEN BEN HAMMADI BENAMOR</t>
  </si>
  <si>
    <t>1r05103</t>
  </si>
  <si>
    <t>MONGI BEN BRAHIM</t>
  </si>
  <si>
    <t>1r05040</t>
  </si>
  <si>
    <t>JALELEDDINE B SALEM ZERELLI</t>
  </si>
  <si>
    <t>1r05034</t>
  </si>
  <si>
    <t>GROCOMA</t>
  </si>
  <si>
    <t>1r04138</t>
  </si>
  <si>
    <t>BELGACEM BEN BOUBAKER MEJRI</t>
  </si>
  <si>
    <t>AVEA MAGHREB</t>
  </si>
  <si>
    <t>1r03173</t>
  </si>
  <si>
    <t>STE CYRINE DRIME CAR</t>
  </si>
  <si>
    <t>1r03109</t>
  </si>
  <si>
    <t>SMPA MASMOUDI PIECES AUTOS</t>
  </si>
  <si>
    <t>1r02238</t>
  </si>
  <si>
    <t>LES EQUIPEMENTS MARITIMES DE</t>
  </si>
  <si>
    <t>1r02194</t>
  </si>
  <si>
    <t>ESSAIED SALAH</t>
  </si>
  <si>
    <t>1R02097</t>
  </si>
  <si>
    <t>STE CAR PLUS</t>
  </si>
  <si>
    <t>1r01554</t>
  </si>
  <si>
    <t>1r01539</t>
  </si>
  <si>
    <t>MONDHER MEFTAH</t>
  </si>
  <si>
    <t>1r01470</t>
  </si>
  <si>
    <t>STE MANEL AUTO-SOMA-</t>
  </si>
  <si>
    <t>1r01389</t>
  </si>
  <si>
    <t>GHRIBI ABDELMOUTALAB B.AMMAR</t>
  </si>
  <si>
    <t>STE BEN ABDERRAZEK NASRI</t>
  </si>
  <si>
    <t>4R14069</t>
  </si>
  <si>
    <t>HACHICHA THAMEUR</t>
  </si>
  <si>
    <t>3R18053</t>
  </si>
  <si>
    <t>STE HAMIDOU D COMMERCE</t>
  </si>
  <si>
    <t>3R15044</t>
  </si>
  <si>
    <t>RIAHI TAREK B HMIDA B MED</t>
  </si>
  <si>
    <t>1R03157</t>
  </si>
  <si>
    <t>HATEM BEN SALAH KRAIEM</t>
  </si>
  <si>
    <t>4R12113</t>
  </si>
  <si>
    <t>7r16027</t>
  </si>
  <si>
    <t>TAIEB GHRIBI</t>
  </si>
  <si>
    <t>6R23048</t>
  </si>
  <si>
    <t>STE ALBOURAQ PIECES AUTO</t>
  </si>
  <si>
    <t>1R02257</t>
  </si>
  <si>
    <t>S M E A</t>
  </si>
  <si>
    <t>3R18160</t>
  </si>
  <si>
    <t>MANAI WAHID</t>
  </si>
  <si>
    <t>1r01518</t>
  </si>
  <si>
    <t>SOKOPA</t>
  </si>
  <si>
    <t>6R21174</t>
  </si>
  <si>
    <t>ETS SALAH KOTNI 2</t>
  </si>
  <si>
    <t>6R21118</t>
  </si>
  <si>
    <t>1r05175</t>
  </si>
  <si>
    <t>HAJRI FAYCEL</t>
  </si>
  <si>
    <t>1r06159</t>
  </si>
  <si>
    <t>OUERGHI MOUNIR B ABDELMAJID</t>
  </si>
  <si>
    <t>8R10053</t>
  </si>
  <si>
    <t>GHARBI JALEL BEN BRAHIM</t>
  </si>
  <si>
    <t>8R09006</t>
  </si>
  <si>
    <t>THAMEUR CHAGRAOUI</t>
  </si>
  <si>
    <t>7R17046</t>
  </si>
  <si>
    <t>HASSEN BEN BELGACEM  DABBABI</t>
  </si>
  <si>
    <t>7R16012</t>
  </si>
  <si>
    <t>AWADNI MAATOUG</t>
  </si>
  <si>
    <t>6R23139</t>
  </si>
  <si>
    <t>STE CENTRE NAOUALI SERVICES</t>
  </si>
  <si>
    <t>4R13137</t>
  </si>
  <si>
    <t>HAKIM BEN SADOK KHEMIS</t>
  </si>
  <si>
    <t>4R12227</t>
  </si>
  <si>
    <t>STE ROUA VENTE ET ACHAT EN</t>
  </si>
  <si>
    <t>4R12222</t>
  </si>
  <si>
    <t>1R06141</t>
  </si>
  <si>
    <t>STE PICES.RECHANGES AUTOS</t>
  </si>
  <si>
    <t>1r03172</t>
  </si>
  <si>
    <t>HAIKEL BEN MOULDI ESSAHLI</t>
  </si>
  <si>
    <t>1R05196</t>
  </si>
  <si>
    <t>TAIEB JANNETTE</t>
  </si>
  <si>
    <t>7R19030</t>
  </si>
  <si>
    <t>6R21155</t>
  </si>
  <si>
    <t>HICHEM BEN IBRAHIM RAHALI</t>
  </si>
  <si>
    <t>8R08042</t>
  </si>
  <si>
    <t>STE IDEAL  MOTEUR</t>
  </si>
  <si>
    <t>4R13142</t>
  </si>
  <si>
    <t>TAHER BEN AMOR MAHJOUBI</t>
  </si>
  <si>
    <t>MOHAMMED BEN NOURI MSAKNI</t>
  </si>
  <si>
    <t>3R18353</t>
  </si>
  <si>
    <t>STE PIECES AUTOS JAPONAISES</t>
  </si>
  <si>
    <t>3R18336</t>
  </si>
  <si>
    <t>1R07041</t>
  </si>
  <si>
    <t>MOHAMED BEN MOHAMED SAMIR</t>
  </si>
  <si>
    <t>1r04121</t>
  </si>
  <si>
    <t>EL HICHRI HOUSSEM BEN MED</t>
  </si>
  <si>
    <t>1R03167</t>
  </si>
  <si>
    <t>STE DOGHRI AL BARAKA</t>
  </si>
  <si>
    <t>1R02237</t>
  </si>
  <si>
    <t>ABDELKADER MOEZ BEN LAMINE</t>
  </si>
  <si>
    <t>AMEL ZGUIDENE EP SADFI</t>
  </si>
  <si>
    <t>1R02150</t>
  </si>
  <si>
    <t>IMED BEN ZEKRI</t>
  </si>
  <si>
    <t>1R01456</t>
  </si>
  <si>
    <t>STE GENERALE EQUIP.MARITIME</t>
  </si>
  <si>
    <t>4R13132</t>
  </si>
  <si>
    <t>STE EQUIP.INDUSTRIEL &amp; MARIT</t>
  </si>
  <si>
    <t>FAOUZI BEN ALI AKROUT</t>
  </si>
  <si>
    <t>6R21136</t>
  </si>
  <si>
    <t>4r12231</t>
  </si>
  <si>
    <t>STE COGEPA</t>
  </si>
  <si>
    <t>1R02235</t>
  </si>
  <si>
    <t>HAROUNI HAFSIA BT MOHAMED</t>
  </si>
  <si>
    <t>STE GENERALE AUTO DU SUD</t>
  </si>
  <si>
    <t>7R19061</t>
  </si>
  <si>
    <t>MOHAMED NACEUR ABDELLI</t>
  </si>
  <si>
    <t>7R17011</t>
  </si>
  <si>
    <t>MOURAD BEN GACEM NALOUTI</t>
  </si>
  <si>
    <t>STE RESSIFI DES PIECES AUTOS</t>
  </si>
  <si>
    <t>MOUHAMED GDEMME</t>
  </si>
  <si>
    <t>6r21074</t>
  </si>
  <si>
    <t>STE TOUNSI PIECES AUTO</t>
  </si>
  <si>
    <t>1R06161</t>
  </si>
  <si>
    <t>PROCAR TUNISIE</t>
  </si>
  <si>
    <t>1r04146</t>
  </si>
  <si>
    <t>1R02193</t>
  </si>
  <si>
    <t>1r01495</t>
  </si>
  <si>
    <t>6r21174</t>
  </si>
  <si>
    <t>SOFIENE B RHOUMA "CAP AUTO"</t>
  </si>
  <si>
    <t>1R05199</t>
  </si>
  <si>
    <t>MEJRI DE PNEUMATIQUE "SMP"</t>
  </si>
  <si>
    <t>MAHDI BEN ELHEDI</t>
  </si>
  <si>
    <t>1r04136</t>
  </si>
  <si>
    <t>AURADIS</t>
  </si>
  <si>
    <t>1R04147</t>
  </si>
  <si>
    <t>8r09060</t>
  </si>
  <si>
    <t>NAJAHI DES PIECES AUTOS"SNPA</t>
  </si>
  <si>
    <t>1r03163</t>
  </si>
  <si>
    <t>STE MATEUR QUINC [SOGEMAQ]</t>
  </si>
  <si>
    <t>1r02083</t>
  </si>
  <si>
    <t>STE FARAH</t>
  </si>
  <si>
    <t>1r01575</t>
  </si>
  <si>
    <t>OUN ALLAH SALAHEDDINE</t>
  </si>
  <si>
    <t>1r01146</t>
  </si>
  <si>
    <t>MANSOURI MAHJOUBBEN JILANI</t>
  </si>
  <si>
    <t>8R11083</t>
  </si>
  <si>
    <t>6r21179</t>
  </si>
  <si>
    <t>1r01567</t>
  </si>
  <si>
    <t>STE DREAM CAR</t>
  </si>
  <si>
    <t>3R18381</t>
  </si>
  <si>
    <t>EQUIP. AUTOS MOKNINE</t>
  </si>
  <si>
    <t>4R13048</t>
  </si>
  <si>
    <t>M P R- ESSID LASSAAD</t>
  </si>
  <si>
    <t>1r02082</t>
  </si>
  <si>
    <t>NEJI EL JAZI</t>
  </si>
  <si>
    <t>1r05159</t>
  </si>
  <si>
    <t>HADDAD MAKHLOUF</t>
  </si>
  <si>
    <t>6r23159</t>
  </si>
  <si>
    <t>STE GHAMMOUR ENAKHIL</t>
  </si>
  <si>
    <t>8R11061</t>
  </si>
  <si>
    <t>SALEM AGIL</t>
  </si>
  <si>
    <t>7R16041</t>
  </si>
  <si>
    <t>HAMZA BALBALI</t>
  </si>
  <si>
    <t>6R23144</t>
  </si>
  <si>
    <t>STE BEN HMIDA POLY SERVICES</t>
  </si>
  <si>
    <t>6R21156</t>
  </si>
  <si>
    <t>MOHAMED BEN SALAH BENHASSEN</t>
  </si>
  <si>
    <t>6r21144</t>
  </si>
  <si>
    <t>MOHAMED BEN MOHAMED KAYEL</t>
  </si>
  <si>
    <t>6R21038</t>
  </si>
  <si>
    <t>HASSINE BEN ALI HADROUG</t>
  </si>
  <si>
    <t>4R13103</t>
  </si>
  <si>
    <t>STE BEN MARIEM AUTO</t>
  </si>
  <si>
    <t>4R12261</t>
  </si>
  <si>
    <t>STE STATION SERVICE.OILLIBYA</t>
  </si>
  <si>
    <t>4R12254</t>
  </si>
  <si>
    <t>SKANDER MABROUK</t>
  </si>
  <si>
    <t>4R12196</t>
  </si>
  <si>
    <t>3R18410</t>
  </si>
  <si>
    <t>BEN ALI HAFEDH</t>
  </si>
  <si>
    <t>3R18408</t>
  </si>
  <si>
    <t>STE HAJ TAIEB PIECES.RECHANG</t>
  </si>
  <si>
    <t>MOHAMED BOUAZIZ</t>
  </si>
  <si>
    <t>3R18329</t>
  </si>
  <si>
    <t>1r06038</t>
  </si>
  <si>
    <t>STE HADDAD PIECES.RECHANGES</t>
  </si>
  <si>
    <t>1R05203</t>
  </si>
  <si>
    <t>TAHER KABOUS ROYAL AUTO</t>
  </si>
  <si>
    <t>STE HAMI AUTO</t>
  </si>
  <si>
    <t>1r05188</t>
  </si>
  <si>
    <t>STE FOURAT DE PIECES AUTO</t>
  </si>
  <si>
    <t>1R04141</t>
  </si>
  <si>
    <t>ABDELKADER B YOUSSEF GHARBI</t>
  </si>
  <si>
    <t>1r04120</t>
  </si>
  <si>
    <t>STE  BEN TALEB PIECES AUTOS</t>
  </si>
  <si>
    <t>1r03100</t>
  </si>
  <si>
    <t>AMOR BEN ABDRAHMENE BIBANI</t>
  </si>
  <si>
    <t>1R02148</t>
  </si>
  <si>
    <t>1R01573</t>
  </si>
  <si>
    <t>BEN SALEM MALIKA</t>
  </si>
  <si>
    <t>1R01548</t>
  </si>
  <si>
    <t>1R01492</t>
  </si>
  <si>
    <t>1r01473</t>
  </si>
  <si>
    <t>STE BOUKHZAR SARL</t>
  </si>
  <si>
    <t>1r05210</t>
  </si>
  <si>
    <t>1r05148</t>
  </si>
  <si>
    <t>1r03168</t>
  </si>
  <si>
    <t>KHELIFA BEN TAIEB</t>
  </si>
  <si>
    <t>1r07002</t>
  </si>
  <si>
    <t>SOUAD BENT HEDI KALAI</t>
  </si>
  <si>
    <t>8R11072</t>
  </si>
  <si>
    <t>SOLTANI HSAN B.MBAREK</t>
  </si>
  <si>
    <t>8R10057</t>
  </si>
  <si>
    <t>STE AOULED KHDHIRI SARL</t>
  </si>
  <si>
    <t>ABDELMAJID BEN HASSEN AMIRI</t>
  </si>
  <si>
    <t>8R06002</t>
  </si>
  <si>
    <t>STE AL BARAKA EQUIP.GENERALE</t>
  </si>
  <si>
    <t>EZZEDDINE LETIFI</t>
  </si>
  <si>
    <t>7R16055</t>
  </si>
  <si>
    <t>6R24019</t>
  </si>
  <si>
    <t>4r14072</t>
  </si>
  <si>
    <t>PIECES AUTOS MED AZZOUZ</t>
  </si>
  <si>
    <t>EL BARAKA VENTE PIECES RECH.</t>
  </si>
  <si>
    <t>FAYCEL BEN MOHAMMED ZARROUK</t>
  </si>
  <si>
    <t>4R12234</t>
  </si>
  <si>
    <t>L AUTO PIECE  HABIB HANDOUS</t>
  </si>
  <si>
    <t>4R12193</t>
  </si>
  <si>
    <t>SALAH MHIRI</t>
  </si>
  <si>
    <t>4R12024</t>
  </si>
  <si>
    <t>BENDHIEB BILEL [ DPR )</t>
  </si>
  <si>
    <t>3R18347</t>
  </si>
  <si>
    <t>BOURAOUI LAMTI</t>
  </si>
  <si>
    <t>1r12001</t>
  </si>
  <si>
    <t>1R06149</t>
  </si>
  <si>
    <t>NAILA BEN AHMED JEMAI</t>
  </si>
  <si>
    <t>1r06126</t>
  </si>
  <si>
    <t>SOCIETE RECTIF</t>
  </si>
  <si>
    <t>1R05200</t>
  </si>
  <si>
    <t>1R05184</t>
  </si>
  <si>
    <t>1R05181</t>
  </si>
  <si>
    <t>STE SIPRAMA</t>
  </si>
  <si>
    <t>1R04140</t>
  </si>
  <si>
    <t>SOCIETE AYARI AUTOS</t>
  </si>
  <si>
    <t>1R03160</t>
  </si>
  <si>
    <t>BESGHAIER WAJDI</t>
  </si>
  <si>
    <t>1R02281</t>
  </si>
  <si>
    <t>STE COMPTOIR PCES RCHGS+ELEC</t>
  </si>
  <si>
    <t>1r02277</t>
  </si>
  <si>
    <t>AOUINI SAFOUANE</t>
  </si>
  <si>
    <t>1r02264</t>
  </si>
  <si>
    <t>NAMOUCHI MARIEM</t>
  </si>
  <si>
    <t>1R02263</t>
  </si>
  <si>
    <t>SALIMA NSIB</t>
  </si>
  <si>
    <t>1r02256</t>
  </si>
  <si>
    <t>1R02238</t>
  </si>
  <si>
    <t>1R02231</t>
  </si>
  <si>
    <t>CHIBANI BEN SALEM TAYEB</t>
  </si>
  <si>
    <t>1r02211</t>
  </si>
  <si>
    <t>S O G E F</t>
  </si>
  <si>
    <t>1r02190</t>
  </si>
  <si>
    <t>TUNISINNE DE PIECES DETACHES</t>
  </si>
  <si>
    <t>1r01491</t>
  </si>
  <si>
    <t>BEJI CHEDLY</t>
  </si>
  <si>
    <t>1r01217</t>
  </si>
  <si>
    <t>GUIZANI FETHI</t>
  </si>
  <si>
    <t>1r01050</t>
  </si>
  <si>
    <t>MOHAMED BEN ALI BEN HAMMA</t>
  </si>
  <si>
    <t>1r06107</t>
  </si>
  <si>
    <t>STE ASIE AUTOMOBILE SERVICES</t>
  </si>
  <si>
    <t>1r05208</t>
  </si>
  <si>
    <t>STE GAMA AUTO</t>
  </si>
  <si>
    <t>1r02250</t>
  </si>
  <si>
    <t>7R19018</t>
  </si>
  <si>
    <t>1R04144</t>
  </si>
  <si>
    <t>8r09023</t>
  </si>
  <si>
    <t>BOUCHADDAKH KHALED</t>
  </si>
  <si>
    <t>6R23153</t>
  </si>
  <si>
    <t>3R18036</t>
  </si>
  <si>
    <t>MOHSEN BEN ALI BEN CHOUIKHA</t>
  </si>
  <si>
    <t>6R23125</t>
  </si>
  <si>
    <t>6r23048</t>
  </si>
  <si>
    <t>STE AUTOS BRAKES</t>
  </si>
  <si>
    <t>4R12264</t>
  </si>
  <si>
    <t>COMPTOIR ABDENNADHER</t>
  </si>
  <si>
    <t>3R18047</t>
  </si>
  <si>
    <t>AMINE BEN FREDJ MAHMOUD</t>
  </si>
  <si>
    <t>3R15039</t>
  </si>
  <si>
    <t>SAMI BEN EZZEDINE B ABDALLAH</t>
  </si>
  <si>
    <t>1r05187</t>
  </si>
  <si>
    <t>6r23139</t>
  </si>
  <si>
    <t>6r21178</t>
  </si>
  <si>
    <t>SAHAR BT HABIB HAJ MAHMOUD</t>
  </si>
  <si>
    <t>4R15042</t>
  </si>
  <si>
    <t>SOCIETE M &amp; M MOTORS</t>
  </si>
  <si>
    <t>1r05216</t>
  </si>
  <si>
    <t>LIMEME FATHI BEN KHLIFA</t>
  </si>
  <si>
    <t>4R12214</t>
  </si>
  <si>
    <t>STE.GUEDRI MOHSEN ET FRERES</t>
  </si>
  <si>
    <t>1R07013</t>
  </si>
  <si>
    <t>STE SAAIDI PIECES  RECHANGE</t>
  </si>
  <si>
    <t>ASMA BENT MOKHTAR ESSID</t>
  </si>
  <si>
    <t>4R13138</t>
  </si>
  <si>
    <t>REZGUI ANIS BEN ALI BN AMARA</t>
  </si>
  <si>
    <t>8R10060</t>
  </si>
  <si>
    <t>STE AYARI AUTOS &amp; CIE</t>
  </si>
  <si>
    <t>1R03147</t>
  </si>
  <si>
    <t>STE YOSR DE PIECES AUTOS</t>
  </si>
  <si>
    <t>1r02241</t>
  </si>
  <si>
    <t>1r02237</t>
  </si>
  <si>
    <t>GENERAL PNEU PIECES RECH</t>
  </si>
  <si>
    <t>1R01543</t>
  </si>
  <si>
    <t>3R15037</t>
  </si>
  <si>
    <t>8r09044</t>
  </si>
  <si>
    <t>SOCIETE CHAIBI DE CARBURANT</t>
  </si>
  <si>
    <t>3r18120</t>
  </si>
  <si>
    <t>STE HERITIERS MHAMED SOUGUA</t>
  </si>
  <si>
    <t>3R15029</t>
  </si>
  <si>
    <t>1r03167</t>
  </si>
  <si>
    <t>ZNAIDI HASSINE</t>
  </si>
  <si>
    <t>1R02239</t>
  </si>
  <si>
    <t>1r01456</t>
  </si>
  <si>
    <t>6r21169</t>
  </si>
  <si>
    <t>1r01520</t>
  </si>
  <si>
    <t>STE RELAI NAITIC EXPRE</t>
  </si>
  <si>
    <t>ARBI BEN ALIU GHARBI</t>
  </si>
  <si>
    <t>7R17047</t>
  </si>
  <si>
    <t>3R18337</t>
  </si>
  <si>
    <t>NAIM BERRICH</t>
  </si>
  <si>
    <t>1r01517</t>
  </si>
  <si>
    <t>STE AUTO PRO</t>
  </si>
  <si>
    <t>4R15046</t>
  </si>
  <si>
    <t>BAAZAOUI SALAH</t>
  </si>
  <si>
    <t>3R14079</t>
  </si>
  <si>
    <t>1r02148</t>
  </si>
  <si>
    <t>STE KAPRA</t>
  </si>
  <si>
    <t>3R18398</t>
  </si>
  <si>
    <t>8R11078</t>
  </si>
  <si>
    <t>STE HAMMAMI DE MATER.AGRICOL</t>
  </si>
  <si>
    <t>8R10056</t>
  </si>
  <si>
    <t>HOUCINE LOUSSAIEF</t>
  </si>
  <si>
    <t>8R08023</t>
  </si>
  <si>
    <t>BELGACEM BEN SMIDA</t>
  </si>
  <si>
    <t>7R22003</t>
  </si>
  <si>
    <t>6R21177</t>
  </si>
  <si>
    <t>HAMDA MALEK BEN JILANI</t>
  </si>
  <si>
    <t>4R14050</t>
  </si>
  <si>
    <t>COMPTOIR DOUICK DE PIECES</t>
  </si>
  <si>
    <t>STE S.P.A.M</t>
  </si>
  <si>
    <t>3R18394</t>
  </si>
  <si>
    <t>SO.CO.PI</t>
  </si>
  <si>
    <t>STE COMPT EQUIP AUTOS</t>
  </si>
  <si>
    <t>1R02138</t>
  </si>
  <si>
    <t>1r01548</t>
  </si>
  <si>
    <t>1R01217</t>
  </si>
  <si>
    <t>1r01386</t>
  </si>
  <si>
    <t>6r23155</t>
  </si>
  <si>
    <t>Amount</t>
  </si>
  <si>
    <t>Antidatée</t>
  </si>
  <si>
    <t>Nom</t>
  </si>
  <si>
    <t>Adr fact</t>
  </si>
  <si>
    <t>STE ZORGATI VEHICULE</t>
  </si>
  <si>
    <t>4R12211</t>
  </si>
  <si>
    <t>JAADI MONCEF</t>
  </si>
  <si>
    <t>4R14029</t>
  </si>
  <si>
    <t>4R12125</t>
  </si>
  <si>
    <t>SOCIETE ZAGHLA FRERES</t>
  </si>
  <si>
    <t>1R04037</t>
  </si>
  <si>
    <t>1R03170</t>
  </si>
  <si>
    <t>BEN ALI HAMDI</t>
  </si>
  <si>
    <t>1R03141</t>
  </si>
  <si>
    <t>STE HADJ AUTO</t>
  </si>
  <si>
    <t>1R01480</t>
  </si>
  <si>
    <t>STE ZORGATI VEHICULES</t>
  </si>
  <si>
    <t>1R12003</t>
  </si>
  <si>
    <t>MOHAMED HEDI BOUAOUJA</t>
  </si>
  <si>
    <t>6R23038</t>
  </si>
  <si>
    <t>LAJNEF SAMI BEN MOHAMED</t>
  </si>
  <si>
    <t>3R18263</t>
  </si>
  <si>
    <t>1R02226</t>
  </si>
  <si>
    <t>STE SARRA AUTO</t>
  </si>
  <si>
    <t>4R13125</t>
  </si>
  <si>
    <t>KHEMAIES BOUDECHE</t>
  </si>
  <si>
    <t>RHIM CHEDLY</t>
  </si>
  <si>
    <t>1R05055</t>
  </si>
  <si>
    <t>KHENFIR MOHAMED LAMJED</t>
  </si>
  <si>
    <t>3R18133</t>
  </si>
  <si>
    <t>F.I.A.M</t>
  </si>
  <si>
    <t>3R18357</t>
  </si>
  <si>
    <t>MOHAMED GHARIANI</t>
  </si>
  <si>
    <t>3R18068</t>
  </si>
  <si>
    <t>STE PCES DE RECH.AUTO.NACEUR</t>
  </si>
  <si>
    <t>3R18409</t>
  </si>
  <si>
    <t>1R04124</t>
  </si>
  <si>
    <t>STE ELECTRO-MECANIQUE</t>
  </si>
  <si>
    <t>1R04055</t>
  </si>
  <si>
    <t>AMOR B.SADEK AOUDH</t>
  </si>
  <si>
    <t>6R21048</t>
  </si>
  <si>
    <t>MOHAMED TAHER TNANCHA</t>
  </si>
  <si>
    <t>7R22013</t>
  </si>
  <si>
    <t>FERJANI FATHALLAH</t>
  </si>
  <si>
    <t>3R15019</t>
  </si>
  <si>
    <t>1R01536</t>
  </si>
  <si>
    <t>1R02143</t>
  </si>
  <si>
    <t>MOHAMED AMINE DAOUDI</t>
  </si>
  <si>
    <t>1R02258</t>
  </si>
  <si>
    <t>ETABLISSEMENTS AUPEICL</t>
  </si>
  <si>
    <t>1R06034</t>
  </si>
  <si>
    <t>SOCIETE CEPA</t>
  </si>
  <si>
    <t>1R02078</t>
  </si>
  <si>
    <t>SAADI ABDALLAH</t>
  </si>
  <si>
    <t>4R14030</t>
  </si>
  <si>
    <t>STE GLE DE COMMERCE PI</t>
  </si>
  <si>
    <t>7R22002</t>
  </si>
  <si>
    <t>SOTUDIS</t>
  </si>
  <si>
    <t>4S12021</t>
  </si>
  <si>
    <t>STE DE BETON INDUST. G</t>
  </si>
  <si>
    <t>4S12044</t>
  </si>
  <si>
    <t>Total St</t>
  </si>
  <si>
    <t>Echéance</t>
  </si>
  <si>
    <t>Client</t>
  </si>
  <si>
    <t>L10190</t>
  </si>
  <si>
    <t>FONDERIE HNAYA</t>
  </si>
  <si>
    <t>L10192</t>
  </si>
  <si>
    <t>QUANTITE</t>
  </si>
  <si>
    <t>PU</t>
  </si>
  <si>
    <t>T HT</t>
  </si>
  <si>
    <t>TVA</t>
  </si>
  <si>
    <t>TOTAL TTC</t>
  </si>
  <si>
    <t>TOTAL ALIMINIUM</t>
  </si>
  <si>
    <t>FN180030</t>
  </si>
  <si>
    <t>FN180031</t>
  </si>
  <si>
    <t>SITUATION KAIS 12/07/2018</t>
  </si>
  <si>
    <t>SITUATION HAZEM 12/07/2018</t>
  </si>
  <si>
    <t>SITUATION SOTRAM 12/07/2018</t>
  </si>
  <si>
    <t>STE GENERAL PIECES [ANTIT]</t>
  </si>
  <si>
    <t>1r01572</t>
  </si>
  <si>
    <t>ETS HAMED ET FILS</t>
  </si>
  <si>
    <t>1r05155</t>
  </si>
  <si>
    <t>MONCEF BEN HABIB CHERNI</t>
  </si>
  <si>
    <t>1r01476</t>
  </si>
  <si>
    <t>1r06161</t>
  </si>
  <si>
    <t>1r01480</t>
  </si>
  <si>
    <t>6r21118</t>
  </si>
  <si>
    <t>S P I R</t>
  </si>
  <si>
    <t>3R18411</t>
  </si>
  <si>
    <t>SOCIETE DRIDI AUTO (SDA)</t>
  </si>
  <si>
    <t>1r02174</t>
  </si>
  <si>
    <t>STE MECHERGUI EZZEDINE P.AUT</t>
  </si>
  <si>
    <t>8R10059</t>
  </si>
  <si>
    <t>STE MEMMI-AUTO ET COMPAGNIES</t>
  </si>
  <si>
    <t>COMPTOIR CAMION DU CENTRE</t>
  </si>
  <si>
    <t>FERJANI HAMDI B.NOUREDDINE</t>
  </si>
  <si>
    <t>4R12265</t>
  </si>
  <si>
    <t>1r02247</t>
  </si>
  <si>
    <t>MEJDI NAJET BENT IBRAHIM</t>
  </si>
  <si>
    <t>CLIENT PASSAGER ASJ</t>
  </si>
  <si>
    <t>1x01000</t>
  </si>
  <si>
    <t>CLIENT PASSAGER - SOUSSE</t>
  </si>
  <si>
    <t>4X01000</t>
  </si>
  <si>
    <t>STE CARRIERES BOUZAIENE</t>
  </si>
  <si>
    <t>4S14007</t>
  </si>
  <si>
    <t>STE LA PERLE DE BETON INDUST</t>
  </si>
  <si>
    <t>4S12059</t>
  </si>
  <si>
    <t>SOCIETE C P R A</t>
  </si>
  <si>
    <t>FREDJ BEN KHALIFA KLEBI</t>
  </si>
  <si>
    <t>3R15017</t>
  </si>
  <si>
    <t>SPARE PART DISTRIBUTION</t>
  </si>
  <si>
    <t>3R18399</t>
  </si>
  <si>
    <t>1r07013</t>
  </si>
  <si>
    <t>STE COMP. GENERAL EQUIPEMENT</t>
  </si>
  <si>
    <t>EL MOHTAREF MAINTENANCE AUTO</t>
  </si>
  <si>
    <t>HAMZA AUTO</t>
  </si>
  <si>
    <t>1R02209</t>
  </si>
  <si>
    <t>HADHRI MOUHED BEN HAMOUDA</t>
  </si>
  <si>
    <t>STE M&amp;M EQUIPEMENTS DE PECHE</t>
  </si>
  <si>
    <t>STE BEN ABDERRAZEK NAS</t>
  </si>
  <si>
    <t>PIECES AUTOS BEN ALAYA</t>
  </si>
  <si>
    <t>EL BALDI ANIS</t>
  </si>
  <si>
    <t>4R12246</t>
  </si>
  <si>
    <t>STE X TREME POWER SPOR</t>
  </si>
  <si>
    <t>4S12071</t>
  </si>
  <si>
    <t>STE ROUA VENTE ET ACHA</t>
  </si>
  <si>
    <t>CLIENT PASSAGER - SOUS</t>
  </si>
  <si>
    <t>4X02000</t>
  </si>
  <si>
    <t>SALAH FNAIECH</t>
  </si>
  <si>
    <t>3R15025</t>
  </si>
  <si>
    <t>STE SLIM VENTE PIECES</t>
  </si>
  <si>
    <t>MOHAMMED BEN NOURI MSA</t>
  </si>
  <si>
    <t>SOCIETE ALI PIECES AUT</t>
  </si>
  <si>
    <t>STE REKIK AUTOS</t>
  </si>
  <si>
    <t>3R18412</t>
  </si>
  <si>
    <t>STE HSOUNA FRIKHA ET F</t>
  </si>
  <si>
    <t>MED DHIA BEN BRAHIM CH</t>
  </si>
  <si>
    <t>OUERGHI MOUNIR B ABDEL</t>
  </si>
  <si>
    <t>ROJDI BEN MOHAMED KRAO</t>
  </si>
  <si>
    <t>8r10040</t>
  </si>
  <si>
    <t>SOGEMCO</t>
  </si>
  <si>
    <t>7R19060</t>
  </si>
  <si>
    <t>YACOUBI BEN MOULDI EL</t>
  </si>
  <si>
    <t>STE GENERALE AUTO DU S</t>
  </si>
  <si>
    <t>CHENAINA HOUCINE B AHM</t>
  </si>
  <si>
    <t>ZAMMOURIA FATMA EPS MA</t>
  </si>
  <si>
    <t>BLIDAWI AHMED BEN MOHA</t>
  </si>
  <si>
    <t>6r23153</t>
  </si>
  <si>
    <t>MOHAMED B BELGACEM MIS</t>
  </si>
  <si>
    <t>6R23021</t>
  </si>
  <si>
    <t>STE B.ABDESSALEM PIECE</t>
  </si>
  <si>
    <t>HAIKEL BEN MOULDI ESSA</t>
  </si>
  <si>
    <t>STE ELECTRIC AUTO NABE</t>
  </si>
  <si>
    <t>1R05188</t>
  </si>
  <si>
    <t>STE MBS SERVICES</t>
  </si>
  <si>
    <t>1R03164</t>
  </si>
  <si>
    <t>STE.GUEDRI MOHSEN ET F</t>
  </si>
  <si>
    <t>ABDELKADER B YOUSSEF G</t>
  </si>
  <si>
    <t>1R04120</t>
  </si>
  <si>
    <t>BEN AHMED AUTO</t>
  </si>
  <si>
    <t>1R01578</t>
  </si>
  <si>
    <t>STE HARECH TRANS.TERRE</t>
  </si>
  <si>
    <t>1s01264</t>
  </si>
  <si>
    <t>1r06160</t>
  </si>
  <si>
    <t>STE COMPTOIR NORD DE P</t>
  </si>
  <si>
    <t>1r06136</t>
  </si>
  <si>
    <t>STE RAMI.VNTE.PICES.RE</t>
  </si>
  <si>
    <t>1r05214</t>
  </si>
  <si>
    <t>1r04140</t>
  </si>
  <si>
    <t>AYMEN BEN EZZEDDINE DA</t>
  </si>
  <si>
    <t>1r02201</t>
  </si>
  <si>
    <t>1r02097</t>
  </si>
  <si>
    <t>STE TAHRI STATION SERV</t>
  </si>
  <si>
    <t>1R02270</t>
  </si>
  <si>
    <t>1R12001</t>
  </si>
  <si>
    <t>RIAHI TAREK B HMIDA B</t>
  </si>
  <si>
    <t>LES EQUIPEMENTS MARITI</t>
  </si>
  <si>
    <t>STE MATEUR QUINC [SOGE</t>
  </si>
  <si>
    <t>1r02263</t>
  </si>
  <si>
    <t>COMPTOIR METOUIEN AUTO</t>
  </si>
  <si>
    <t>PERSONNEL  NOUR</t>
  </si>
  <si>
    <t>1p01000</t>
  </si>
  <si>
    <t>GARA NABIL BEN BECHIR</t>
  </si>
  <si>
    <t>1r04098</t>
  </si>
  <si>
    <t>STE FOURAT DE PIECES A</t>
  </si>
  <si>
    <t>1r04141</t>
  </si>
  <si>
    <t>HASSINI AHMED BEN MOHA</t>
  </si>
  <si>
    <t>CHERIF MOHAMED</t>
  </si>
  <si>
    <t>1r01511</t>
  </si>
  <si>
    <t>MAISON ROULT &amp; PNEU.</t>
  </si>
  <si>
    <t>1r01132</t>
  </si>
  <si>
    <t>SOFIENE B RHOUMA "CAP</t>
  </si>
  <si>
    <t>MOHAMED BEN MOHAMED SA</t>
  </si>
  <si>
    <t>1R04121</t>
  </si>
  <si>
    <t>STE AUTO SERVICE PLUS</t>
  </si>
  <si>
    <t>1R03118</t>
  </si>
  <si>
    <t>STE FREE RENT A CAR</t>
  </si>
  <si>
    <t>1R02278</t>
  </si>
  <si>
    <t>ZIED LOUHICHI "LOUHICH</t>
  </si>
  <si>
    <t>1R02265</t>
  </si>
  <si>
    <t>STE LOUSSAIEF ET FILS</t>
  </si>
  <si>
    <t>1R01512</t>
  </si>
  <si>
    <t>1R01146</t>
  </si>
  <si>
    <t>1R04146</t>
  </si>
  <si>
    <t>1r03164</t>
  </si>
  <si>
    <t>1s02174</t>
  </si>
  <si>
    <t>STE DISTRIBUTION PIECE</t>
  </si>
  <si>
    <t>STE MDIALE PCE AUTOMOB</t>
  </si>
  <si>
    <t>STE PIECES RECHANGES "SPJA"</t>
  </si>
  <si>
    <t>6R21055</t>
  </si>
  <si>
    <t>S.G.P</t>
  </si>
  <si>
    <t>3S18049</t>
  </si>
  <si>
    <t>STE DE FABRICATION DE POUDRE</t>
  </si>
  <si>
    <t>STE CHENIB DE PIECES AUTOS</t>
  </si>
  <si>
    <t>1R02173</t>
  </si>
  <si>
    <t>NOUREDDINE CHENIB</t>
  </si>
  <si>
    <t>1S02041</t>
  </si>
  <si>
    <t>SOCIETE DE ROUTE ET BA</t>
  </si>
  <si>
    <t>1R02228</t>
  </si>
  <si>
    <t>SODIST</t>
  </si>
  <si>
    <t>1R05168</t>
  </si>
  <si>
    <t>STE AGRI.QUINCAILLERIE</t>
  </si>
  <si>
    <t>1R05212</t>
  </si>
  <si>
    <t>STE BICHIOU BRICO HOME</t>
  </si>
  <si>
    <t>1R01465</t>
  </si>
  <si>
    <t>MATERIELS POIDS LOURDS</t>
  </si>
  <si>
    <t>1R02053</t>
  </si>
  <si>
    <t>CHENIB MOHAMED- ESSAYA</t>
  </si>
  <si>
    <t>1R02196</t>
  </si>
  <si>
    <t>SOCIETE SOPI</t>
  </si>
  <si>
    <t>1R01534</t>
  </si>
  <si>
    <t>SOCIETE AGRI MAN</t>
  </si>
  <si>
    <t>1R06127</t>
  </si>
  <si>
    <t>LE PRESTATAIRE  [ 1 ]</t>
  </si>
  <si>
    <t>1T05004</t>
  </si>
  <si>
    <t>SOCIETE MAGHREBINE DES</t>
  </si>
  <si>
    <t>1G28003</t>
  </si>
  <si>
    <t>STE NOUV.BOISSONS GAZE</t>
  </si>
  <si>
    <t>ABBES MONIA "BEST BATT</t>
  </si>
  <si>
    <t>1S02172</t>
  </si>
  <si>
    <t>STE AGRODIS</t>
  </si>
  <si>
    <t>1R01195</t>
  </si>
  <si>
    <t>CHAMAKHI YOUSSEF</t>
  </si>
  <si>
    <t>1R02192</t>
  </si>
  <si>
    <t>COMPTOIR PIECES AUTO E</t>
  </si>
  <si>
    <t>1S03023</t>
  </si>
  <si>
    <t>LOUKIL VEHICULES INDUS</t>
  </si>
  <si>
    <t>STE  COMPTOIR CYRINE-M</t>
  </si>
  <si>
    <t>1R05215</t>
  </si>
  <si>
    <t>SOCIETE SOGEMIM</t>
  </si>
  <si>
    <t>1S02141</t>
  </si>
  <si>
    <t>TIR VEGA</t>
  </si>
  <si>
    <t>1S18011</t>
  </si>
  <si>
    <t>SOCIETE CHAABANE ET CI</t>
  </si>
  <si>
    <t>7R19069</t>
  </si>
  <si>
    <t>HOUCINE B. ABDELHAMID</t>
  </si>
  <si>
    <t>7S22007</t>
  </si>
  <si>
    <t>STE BOUAJILA ALI DE TP</t>
  </si>
  <si>
    <t>8R11010</t>
  </si>
  <si>
    <t>ISSAOUI ABDERRAHMEN</t>
  </si>
  <si>
    <t>3R18112</t>
  </si>
  <si>
    <t>SOCIETE AMMOUS ET CIE</t>
  </si>
  <si>
    <t>3R18141</t>
  </si>
  <si>
    <t>ETS. FAIZA GARG. &amp; BOU</t>
  </si>
  <si>
    <t>3R18331</t>
  </si>
  <si>
    <t>STE CHERIF ET AYADI VE</t>
  </si>
  <si>
    <t>3R18271</t>
  </si>
  <si>
    <t>CENTRE DE DISTRIBUT. P</t>
  </si>
  <si>
    <t>3R18378</t>
  </si>
  <si>
    <t>STE MEKINA</t>
  </si>
  <si>
    <t>3R18356</t>
  </si>
  <si>
    <t>AHMED HASSAIRI</t>
  </si>
  <si>
    <t>3R18393</t>
  </si>
  <si>
    <t>STE M'NEJJA PIECES</t>
  </si>
  <si>
    <t>3S18048</t>
  </si>
  <si>
    <t>S T M T</t>
  </si>
  <si>
    <t>4S01002</t>
  </si>
  <si>
    <t>LES INDUSTRIES DE CARR</t>
  </si>
  <si>
    <t>4G01001</t>
  </si>
  <si>
    <t>MEUBLATEX</t>
  </si>
  <si>
    <t>4S12057</t>
  </si>
  <si>
    <t>STE L'EPI D'OR TRANSPO</t>
  </si>
  <si>
    <t>TOTAL 07/2018</t>
  </si>
  <si>
    <t>TOTAL 90 JOURS</t>
  </si>
  <si>
    <t xml:space="preserve">TOTAL </t>
  </si>
  <si>
    <t>TOTAL GENERAL</t>
  </si>
  <si>
    <t>Solde au 31/07/2018</t>
  </si>
  <si>
    <t>TOTAL 08/2018</t>
  </si>
  <si>
    <t>TOTAL 09/2018</t>
  </si>
  <si>
    <t>TOTAL 10/2018</t>
  </si>
  <si>
    <t>TOTAL 11/2018</t>
  </si>
  <si>
    <t>TOTAL 12/2018</t>
  </si>
  <si>
    <t>STCM 7</t>
  </si>
</sst>
</file>

<file path=xl/styles.xml><?xml version="1.0" encoding="utf-8"?>
<styleSheet xmlns="http://schemas.openxmlformats.org/spreadsheetml/2006/main">
  <numFmts count="17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  <numFmt numFmtId="175" formatCode="[$-40C]d\-mmm\-yy;@"/>
    <numFmt numFmtId="176" formatCode="[$-40C]mmm\-yy;@"/>
    <numFmt numFmtId="177" formatCode="_-* #,##0.0000000\ _€_-;\-* #,##0.0000000\ _€_-;_-* &quot;-&quot;??\ _€_-;_-@_-"/>
    <numFmt numFmtId="178" formatCode="0.000000000%"/>
    <numFmt numFmtId="179" formatCode="0.000000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FF00"/>
      <name val="Times New Roman"/>
      <family val="1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i/>
      <sz val="1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7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0" fontId="7" fillId="0" borderId="0" xfId="0" applyFont="1" applyFill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14" fontId="0" fillId="0" borderId="0" xfId="0" applyNumberFormat="1"/>
    <xf numFmtId="4" fontId="0" fillId="0" borderId="0" xfId="0" applyNumberFormat="1"/>
    <xf numFmtId="0" fontId="17" fillId="0" borderId="0" xfId="0" applyFont="1"/>
    <xf numFmtId="168" fontId="0" fillId="0" borderId="0" xfId="0" applyNumberFormat="1"/>
    <xf numFmtId="4" fontId="19" fillId="2" borderId="34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1" fillId="0" borderId="28" xfId="0" applyFont="1" applyFill="1" applyBorder="1"/>
    <xf numFmtId="14" fontId="22" fillId="0" borderId="28" xfId="0" applyNumberFormat="1" applyFont="1" applyFill="1" applyBorder="1" applyAlignment="1">
      <alignment horizontal="right"/>
    </xf>
    <xf numFmtId="14" fontId="22" fillId="0" borderId="28" xfId="0" applyNumberFormat="1" applyFont="1" applyFill="1" applyBorder="1"/>
    <xf numFmtId="4" fontId="22" fillId="0" borderId="28" xfId="0" applyNumberFormat="1" applyFont="1" applyFill="1" applyBorder="1"/>
    <xf numFmtId="169" fontId="22" fillId="0" borderId="28" xfId="0" applyNumberFormat="1" applyFont="1" applyFill="1" applyBorder="1"/>
    <xf numFmtId="170" fontId="22" fillId="0" borderId="28" xfId="0" applyNumberFormat="1" applyFont="1" applyFill="1" applyBorder="1"/>
    <xf numFmtId="0" fontId="22" fillId="0" borderId="28" xfId="0" applyFont="1" applyFill="1" applyBorder="1"/>
    <xf numFmtId="171" fontId="19" fillId="2" borderId="34" xfId="0" applyNumberFormat="1" applyFont="1" applyFill="1" applyBorder="1" applyAlignment="1">
      <alignment horizontal="right"/>
    </xf>
    <xf numFmtId="0" fontId="19" fillId="2" borderId="9" xfId="0" applyFont="1" applyFill="1" applyBorder="1" applyAlignment="1">
      <alignment horizontal="center"/>
    </xf>
    <xf numFmtId="0" fontId="19" fillId="2" borderId="23" xfId="0" applyFont="1" applyFill="1" applyBorder="1" applyAlignment="1">
      <alignment horizontal="center"/>
    </xf>
    <xf numFmtId="0" fontId="19" fillId="2" borderId="37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38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23" fillId="0" borderId="28" xfId="0" applyFont="1" applyFill="1" applyBorder="1" applyAlignment="1">
      <alignment horizontal="left" vertical="center"/>
    </xf>
    <xf numFmtId="3" fontId="11" fillId="0" borderId="12" xfId="0" applyNumberFormat="1" applyFont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39" xfId="0" applyNumberFormat="1" applyFont="1" applyBorder="1" applyAlignment="1">
      <alignment horizontal="center"/>
    </xf>
    <xf numFmtId="3" fontId="10" fillId="0" borderId="39" xfId="0" applyNumberFormat="1" applyFont="1" applyBorder="1" applyAlignment="1">
      <alignment horizontal="center"/>
    </xf>
    <xf numFmtId="3" fontId="6" fillId="0" borderId="39" xfId="0" applyNumberFormat="1" applyFont="1" applyBorder="1" applyAlignment="1">
      <alignment horizontal="right" indent="1"/>
    </xf>
    <xf numFmtId="3" fontId="11" fillId="0" borderId="39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0" xfId="0" applyNumberFormat="1" applyFont="1" applyBorder="1" applyAlignment="1">
      <alignment horizontal="center"/>
    </xf>
    <xf numFmtId="3" fontId="11" fillId="0" borderId="41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3" fontId="10" fillId="7" borderId="11" xfId="0" applyNumberFormat="1" applyFont="1" applyFill="1" applyBorder="1" applyAlignment="1">
      <alignment horizontal="center"/>
    </xf>
    <xf numFmtId="3" fontId="10" fillId="7" borderId="39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6" xfId="0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0" fontId="6" fillId="0" borderId="11" xfId="0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8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1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4" fontId="5" fillId="0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0" fontId="27" fillId="0" borderId="0" xfId="0" applyFont="1"/>
    <xf numFmtId="3" fontId="27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26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7" fillId="0" borderId="16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26" fillId="0" borderId="12" xfId="0" applyNumberFormat="1" applyFont="1" applyFill="1" applyBorder="1" applyAlignment="1">
      <alignment horizontal="right" indent="1"/>
    </xf>
    <xf numFmtId="3" fontId="5" fillId="0" borderId="12" xfId="0" applyNumberFormat="1" applyFont="1" applyBorder="1" applyAlignment="1">
      <alignment horizontal="right" indent="1"/>
    </xf>
    <xf numFmtId="4" fontId="7" fillId="0" borderId="0" xfId="0" applyNumberFormat="1" applyFont="1" applyFill="1"/>
    <xf numFmtId="14" fontId="17" fillId="0" borderId="0" xfId="0" applyNumberFormat="1" applyFont="1"/>
    <xf numFmtId="0" fontId="7" fillId="0" borderId="11" xfId="0" applyFont="1" applyFill="1" applyBorder="1"/>
    <xf numFmtId="4" fontId="4" fillId="0" borderId="0" xfId="0" applyNumberFormat="1" applyFont="1" applyFill="1"/>
    <xf numFmtId="3" fontId="10" fillId="0" borderId="43" xfId="0" applyNumberFormat="1" applyFont="1" applyBorder="1" applyAlignment="1">
      <alignment horizontal="right"/>
    </xf>
    <xf numFmtId="3" fontId="18" fillId="0" borderId="12" xfId="0" applyNumberFormat="1" applyFont="1" applyFill="1" applyBorder="1"/>
    <xf numFmtId="4" fontId="2" fillId="0" borderId="24" xfId="0" applyNumberFormat="1" applyFont="1" applyFill="1" applyBorder="1"/>
    <xf numFmtId="0" fontId="7" fillId="0" borderId="0" xfId="0" applyFont="1" applyFill="1" applyBorder="1"/>
    <xf numFmtId="0" fontId="7" fillId="0" borderId="17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2" xfId="0" applyNumberFormat="1" applyFont="1" applyFill="1" applyBorder="1"/>
    <xf numFmtId="164" fontId="4" fillId="0" borderId="31" xfId="0" applyNumberFormat="1" applyFont="1" applyFill="1" applyBorder="1"/>
    <xf numFmtId="164" fontId="7" fillId="0" borderId="16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7" xfId="0" applyNumberFormat="1" applyFont="1" applyFill="1" applyBorder="1"/>
    <xf numFmtId="0" fontId="7" fillId="0" borderId="12" xfId="0" applyFont="1" applyFill="1" applyBorder="1"/>
    <xf numFmtId="4" fontId="7" fillId="0" borderId="12" xfId="0" applyNumberFormat="1" applyFont="1" applyFill="1" applyBorder="1"/>
    <xf numFmtId="4" fontId="2" fillId="0" borderId="14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7" xfId="0" applyFont="1" applyFill="1" applyBorder="1"/>
    <xf numFmtId="0" fontId="7" fillId="0" borderId="25" xfId="0" applyFont="1" applyFill="1" applyBorder="1"/>
    <xf numFmtId="164" fontId="7" fillId="0" borderId="26" xfId="0" applyNumberFormat="1" applyFont="1" applyFill="1" applyBorder="1"/>
    <xf numFmtId="0" fontId="3" fillId="0" borderId="25" xfId="0" applyFont="1" applyFill="1" applyBorder="1"/>
    <xf numFmtId="164" fontId="3" fillId="0" borderId="26" xfId="0" applyNumberFormat="1" applyFont="1" applyFill="1" applyBorder="1"/>
    <xf numFmtId="0" fontId="3" fillId="0" borderId="24" xfId="0" applyFont="1" applyFill="1" applyBorder="1"/>
    <xf numFmtId="14" fontId="3" fillId="0" borderId="26" xfId="0" applyNumberFormat="1" applyFont="1" applyFill="1" applyBorder="1"/>
    <xf numFmtId="4" fontId="3" fillId="0" borderId="26" xfId="0" applyNumberFormat="1" applyFont="1" applyFill="1" applyBorder="1"/>
    <xf numFmtId="14" fontId="3" fillId="0" borderId="27" xfId="1" applyNumberFormat="1" applyFont="1" applyFill="1" applyBorder="1"/>
    <xf numFmtId="14" fontId="3" fillId="0" borderId="27" xfId="0" applyNumberFormat="1" applyFont="1" applyFill="1" applyBorder="1"/>
    <xf numFmtId="4" fontId="4" fillId="0" borderId="57" xfId="0" applyNumberFormat="1" applyFont="1" applyFill="1" applyBorder="1"/>
    <xf numFmtId="3" fontId="28" fillId="0" borderId="12" xfId="0" applyNumberFormat="1" applyFont="1" applyFill="1" applyBorder="1" applyAlignment="1">
      <alignment horizontal="right" indent="1"/>
    </xf>
    <xf numFmtId="43" fontId="0" fillId="0" borderId="0" xfId="1" applyFont="1"/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0" fontId="6" fillId="0" borderId="24" xfId="0" applyFont="1" applyBorder="1"/>
    <xf numFmtId="164" fontId="6" fillId="0" borderId="26" xfId="0" applyNumberFormat="1" applyFont="1" applyBorder="1"/>
    <xf numFmtId="4" fontId="6" fillId="0" borderId="25" xfId="0" applyNumberFormat="1" applyFont="1" applyBorder="1"/>
    <xf numFmtId="43" fontId="6" fillId="0" borderId="0" xfId="1" applyFont="1"/>
    <xf numFmtId="0" fontId="7" fillId="4" borderId="24" xfId="0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4" fontId="7" fillId="4" borderId="26" xfId="0" applyNumberFormat="1" applyFont="1" applyFill="1" applyBorder="1"/>
    <xf numFmtId="164" fontId="7" fillId="4" borderId="26" xfId="0" applyNumberFormat="1" applyFont="1" applyFill="1" applyBorder="1"/>
    <xf numFmtId="14" fontId="7" fillId="4" borderId="27" xfId="1" applyNumberFormat="1" applyFont="1" applyFill="1" applyBorder="1"/>
    <xf numFmtId="4" fontId="7" fillId="4" borderId="25" xfId="0" applyNumberFormat="1" applyFont="1" applyFill="1" applyBorder="1"/>
    <xf numFmtId="4" fontId="7" fillId="4" borderId="24" xfId="0" applyNumberFormat="1" applyFont="1" applyFill="1" applyBorder="1"/>
    <xf numFmtId="166" fontId="10" fillId="5" borderId="42" xfId="0" applyNumberFormat="1" applyFont="1" applyFill="1" applyBorder="1" applyAlignment="1">
      <alignment horizontal="center"/>
    </xf>
    <xf numFmtId="3" fontId="11" fillId="0" borderId="49" xfId="0" applyNumberFormat="1" applyFont="1" applyBorder="1"/>
    <xf numFmtId="3" fontId="11" fillId="0" borderId="42" xfId="0" applyNumberFormat="1" applyFont="1" applyBorder="1"/>
    <xf numFmtId="3" fontId="10" fillId="0" borderId="42" xfId="0" applyNumberFormat="1" applyFont="1" applyBorder="1"/>
    <xf numFmtId="3" fontId="11" fillId="0" borderId="42" xfId="0" applyNumberFormat="1" applyFont="1" applyFill="1" applyBorder="1"/>
    <xf numFmtId="3" fontId="11" fillId="7" borderId="42" xfId="0" applyNumberFormat="1" applyFont="1" applyFill="1" applyBorder="1"/>
    <xf numFmtId="3" fontId="11" fillId="0" borderId="11" xfId="0" applyNumberFormat="1" applyFont="1" applyBorder="1"/>
    <xf numFmtId="3" fontId="11" fillId="7" borderId="11" xfId="0" applyNumberFormat="1" applyFont="1" applyFill="1" applyBorder="1"/>
    <xf numFmtId="3" fontId="10" fillId="0" borderId="42" xfId="0" applyNumberFormat="1" applyFont="1" applyBorder="1" applyAlignment="1">
      <alignment horizontal="right"/>
    </xf>
    <xf numFmtId="3" fontId="2" fillId="0" borderId="42" xfId="0" applyNumberFormat="1" applyFont="1" applyBorder="1" applyAlignment="1">
      <alignment horizontal="right" indent="1"/>
    </xf>
    <xf numFmtId="3" fontId="7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166" fontId="14" fillId="4" borderId="44" xfId="0" applyNumberFormat="1" applyFont="1" applyFill="1" applyBorder="1"/>
    <xf numFmtId="3" fontId="11" fillId="0" borderId="43" xfId="0" applyNumberFormat="1" applyFont="1" applyBorder="1"/>
    <xf numFmtId="3" fontId="10" fillId="0" borderId="43" xfId="0" applyNumberFormat="1" applyFont="1" applyBorder="1"/>
    <xf numFmtId="3" fontId="11" fillId="7" borderId="43" xfId="0" applyNumberFormat="1" applyFont="1" applyFill="1" applyBorder="1"/>
    <xf numFmtId="3" fontId="2" fillId="0" borderId="43" xfId="0" applyNumberFormat="1" applyFont="1" applyBorder="1" applyAlignment="1">
      <alignment horizontal="right" indent="1"/>
    </xf>
    <xf numFmtId="3" fontId="11" fillId="0" borderId="43" xfId="0" applyNumberFormat="1" applyFont="1" applyFill="1" applyBorder="1" applyAlignment="1">
      <alignment horizontal="right" indent="1"/>
    </xf>
    <xf numFmtId="3" fontId="11" fillId="0" borderId="43" xfId="0" applyNumberFormat="1" applyFont="1" applyBorder="1" applyAlignment="1">
      <alignment horizontal="right" indent="1"/>
    </xf>
    <xf numFmtId="166" fontId="10" fillId="5" borderId="43" xfId="0" applyNumberFormat="1" applyFont="1" applyFill="1" applyBorder="1" applyAlignment="1">
      <alignment horizontal="center"/>
    </xf>
    <xf numFmtId="166" fontId="14" fillId="4" borderId="45" xfId="0" applyNumberFormat="1" applyFont="1" applyFill="1" applyBorder="1"/>
    <xf numFmtId="3" fontId="28" fillId="0" borderId="13" xfId="0" applyNumberFormat="1" applyFont="1" applyFill="1" applyBorder="1" applyAlignment="1">
      <alignment horizontal="right" indent="1"/>
    </xf>
    <xf numFmtId="3" fontId="2" fillId="0" borderId="11" xfId="0" applyNumberFormat="1" applyFont="1" applyBorder="1" applyAlignment="1">
      <alignment horizontal="right" indent="1"/>
    </xf>
    <xf numFmtId="3" fontId="10" fillId="0" borderId="12" xfId="0" applyNumberFormat="1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64" fontId="7" fillId="0" borderId="20" xfId="0" applyNumberFormat="1" applyFont="1" applyFill="1" applyBorder="1"/>
    <xf numFmtId="164" fontId="7" fillId="4" borderId="32" xfId="0" applyNumberFormat="1" applyFont="1" applyFill="1" applyBorder="1"/>
    <xf numFmtId="164" fontId="7" fillId="4" borderId="0" xfId="0" applyNumberFormat="1" applyFont="1" applyFill="1" applyBorder="1"/>
    <xf numFmtId="164" fontId="7" fillId="4" borderId="22" xfId="0" applyNumberFormat="1" applyFont="1" applyFill="1" applyBorder="1"/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4" xfId="0" applyFont="1" applyFill="1" applyBorder="1"/>
    <xf numFmtId="14" fontId="7" fillId="0" borderId="26" xfId="0" applyNumberFormat="1" applyFont="1" applyFill="1" applyBorder="1"/>
    <xf numFmtId="0" fontId="7" fillId="0" borderId="26" xfId="0" applyFont="1" applyFill="1" applyBorder="1"/>
    <xf numFmtId="4" fontId="7" fillId="0" borderId="26" xfId="0" applyNumberFormat="1" applyFont="1" applyFill="1" applyBorder="1"/>
    <xf numFmtId="14" fontId="7" fillId="0" borderId="27" xfId="0" applyNumberFormat="1" applyFont="1" applyFill="1" applyBorder="1"/>
    <xf numFmtId="164" fontId="7" fillId="0" borderId="25" xfId="0" applyNumberFormat="1" applyFont="1" applyFill="1" applyBorder="1"/>
    <xf numFmtId="4" fontId="7" fillId="0" borderId="25" xfId="0" applyNumberFormat="1" applyFont="1" applyFill="1" applyBorder="1"/>
    <xf numFmtId="0" fontId="7" fillId="0" borderId="27" xfId="0" applyFont="1" applyFill="1" applyBorder="1"/>
    <xf numFmtId="4" fontId="7" fillId="0" borderId="24" xfId="0" applyNumberFormat="1" applyFont="1" applyFill="1" applyBorder="1"/>
    <xf numFmtId="4" fontId="7" fillId="0" borderId="21" xfId="0" applyNumberFormat="1" applyFont="1" applyFill="1" applyBorder="1"/>
    <xf numFmtId="4" fontId="7" fillId="0" borderId="13" xfId="0" applyNumberFormat="1" applyFont="1" applyFill="1" applyBorder="1"/>
    <xf numFmtId="3" fontId="11" fillId="0" borderId="11" xfId="0" applyNumberFormat="1" applyFont="1" applyFill="1" applyBorder="1"/>
    <xf numFmtId="3" fontId="11" fillId="0" borderId="13" xfId="0" applyNumberFormat="1" applyFont="1" applyFill="1" applyBorder="1"/>
    <xf numFmtId="3" fontId="11" fillId="0" borderId="42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right" indent="1"/>
    </xf>
    <xf numFmtId="3" fontId="13" fillId="0" borderId="12" xfId="0" applyNumberFormat="1" applyFont="1" applyFill="1" applyBorder="1"/>
    <xf numFmtId="3" fontId="11" fillId="0" borderId="0" xfId="0" applyNumberFormat="1" applyFont="1" applyFill="1" applyBorder="1"/>
    <xf numFmtId="3" fontId="13" fillId="0" borderId="42" xfId="0" applyNumberFormat="1" applyFont="1" applyFill="1" applyBorder="1"/>
    <xf numFmtId="0" fontId="29" fillId="0" borderId="2" xfId="0" applyFont="1" applyFill="1" applyBorder="1" applyAlignment="1">
      <alignment horizontal="center" vertical="center"/>
    </xf>
    <xf numFmtId="0" fontId="30" fillId="0" borderId="28" xfId="0" applyFont="1" applyFill="1" applyBorder="1"/>
    <xf numFmtId="170" fontId="30" fillId="0" borderId="28" xfId="0" applyNumberFormat="1" applyFont="1" applyFill="1" applyBorder="1"/>
    <xf numFmtId="0" fontId="0" fillId="0" borderId="28" xfId="0" applyFont="1" applyFill="1" applyBorder="1" applyAlignment="1">
      <alignment wrapText="1"/>
    </xf>
    <xf numFmtId="171" fontId="0" fillId="0" borderId="28" xfId="0" applyNumberFormat="1" applyFont="1" applyFill="1" applyBorder="1" applyAlignment="1">
      <alignment horizontal="right" wrapText="1"/>
    </xf>
    <xf numFmtId="14" fontId="30" fillId="0" borderId="28" xfId="0" applyNumberFormat="1" applyFont="1" applyFill="1" applyBorder="1"/>
    <xf numFmtId="14" fontId="30" fillId="0" borderId="28" xfId="0" applyNumberFormat="1" applyFont="1" applyFill="1" applyBorder="1" applyAlignment="1">
      <alignment horizontal="right"/>
    </xf>
    <xf numFmtId="0" fontId="31" fillId="0" borderId="28" xfId="0" applyFont="1" applyFill="1" applyBorder="1"/>
    <xf numFmtId="9" fontId="7" fillId="0" borderId="20" xfId="0" applyNumberFormat="1" applyFont="1" applyFill="1" applyBorder="1"/>
    <xf numFmtId="9" fontId="7" fillId="0" borderId="12" xfId="0" applyNumberFormat="1" applyFont="1" applyFill="1" applyBorder="1"/>
    <xf numFmtId="176" fontId="7" fillId="0" borderId="21" xfId="0" applyNumberFormat="1" applyFont="1" applyFill="1" applyBorder="1"/>
    <xf numFmtId="176" fontId="7" fillId="0" borderId="13" xfId="0" applyNumberFormat="1" applyFont="1" applyFill="1" applyBorder="1"/>
    <xf numFmtId="175" fontId="7" fillId="4" borderId="33" xfId="0" applyNumberFormat="1" applyFont="1" applyFill="1" applyBorder="1" applyAlignment="1">
      <alignment horizontal="center"/>
    </xf>
    <xf numFmtId="0" fontId="7" fillId="4" borderId="0" xfId="0" applyFont="1" applyFill="1" applyBorder="1"/>
    <xf numFmtId="0" fontId="7" fillId="4" borderId="0" xfId="0" applyFont="1" applyFill="1" applyBorder="1" applyAlignment="1">
      <alignment horizontal="center"/>
    </xf>
    <xf numFmtId="4" fontId="7" fillId="4" borderId="0" xfId="0" applyNumberFormat="1" applyFont="1" applyFill="1" applyBorder="1"/>
    <xf numFmtId="14" fontId="7" fillId="4" borderId="0" xfId="0" applyNumberFormat="1" applyFont="1" applyFill="1" applyBorder="1"/>
    <xf numFmtId="0" fontId="4" fillId="4" borderId="0" xfId="0" applyFont="1" applyFill="1" applyBorder="1"/>
    <xf numFmtId="175" fontId="7" fillId="4" borderId="31" xfId="0" applyNumberFormat="1" applyFont="1" applyFill="1" applyBorder="1" applyAlignment="1">
      <alignment horizontal="center"/>
    </xf>
    <xf numFmtId="0" fontId="7" fillId="4" borderId="32" xfId="0" applyFont="1" applyFill="1" applyBorder="1"/>
    <xf numFmtId="0" fontId="7" fillId="4" borderId="32" xfId="0" applyFont="1" applyFill="1" applyBorder="1" applyAlignment="1">
      <alignment horizontal="center"/>
    </xf>
    <xf numFmtId="4" fontId="7" fillId="4" borderId="32" xfId="0" applyNumberFormat="1" applyFont="1" applyFill="1" applyBorder="1"/>
    <xf numFmtId="14" fontId="7" fillId="4" borderId="32" xfId="0" applyNumberFormat="1" applyFont="1" applyFill="1" applyBorder="1"/>
    <xf numFmtId="0" fontId="4" fillId="4" borderId="32" xfId="0" applyFont="1" applyFill="1" applyBorder="1"/>
    <xf numFmtId="175" fontId="7" fillId="4" borderId="36" xfId="0" applyNumberFormat="1" applyFont="1" applyFill="1" applyBorder="1" applyAlignment="1">
      <alignment horizontal="center"/>
    </xf>
    <xf numFmtId="0" fontId="7" fillId="4" borderId="22" xfId="0" applyFont="1" applyFill="1" applyBorder="1"/>
    <xf numFmtId="0" fontId="7" fillId="4" borderId="22" xfId="0" applyFont="1" applyFill="1" applyBorder="1" applyAlignment="1">
      <alignment horizontal="center"/>
    </xf>
    <xf numFmtId="4" fontId="7" fillId="4" borderId="22" xfId="0" applyNumberFormat="1" applyFont="1" applyFill="1" applyBorder="1"/>
    <xf numFmtId="14" fontId="7" fillId="4" borderId="22" xfId="0" applyNumberFormat="1" applyFont="1" applyFill="1" applyBorder="1"/>
    <xf numFmtId="0" fontId="4" fillId="4" borderId="22" xfId="0" applyFont="1" applyFill="1" applyBorder="1"/>
    <xf numFmtId="14" fontId="7" fillId="4" borderId="32" xfId="0" applyNumberFormat="1" applyFont="1" applyFill="1" applyBorder="1" applyAlignment="1">
      <alignment horizontal="center"/>
    </xf>
    <xf numFmtId="14" fontId="7" fillId="4" borderId="0" xfId="0" applyNumberFormat="1" applyFont="1" applyFill="1" applyBorder="1" applyAlignment="1">
      <alignment horizontal="center"/>
    </xf>
    <xf numFmtId="164" fontId="7" fillId="0" borderId="0" xfId="0" applyNumberFormat="1" applyFont="1"/>
    <xf numFmtId="175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4" fontId="7" fillId="0" borderId="0" xfId="0" applyNumberFormat="1" applyFont="1" applyBorder="1"/>
    <xf numFmtId="164" fontId="7" fillId="0" borderId="0" xfId="0" applyNumberFormat="1" applyFont="1" applyBorder="1"/>
    <xf numFmtId="14" fontId="7" fillId="0" borderId="0" xfId="0" applyNumberFormat="1" applyFont="1" applyBorder="1"/>
    <xf numFmtId="0" fontId="4" fillId="0" borderId="0" xfId="0" applyFont="1" applyBorder="1"/>
    <xf numFmtId="17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7" fillId="0" borderId="0" xfId="0" applyNumberFormat="1" applyFont="1"/>
    <xf numFmtId="0" fontId="4" fillId="0" borderId="0" xfId="0" applyFont="1"/>
    <xf numFmtId="3" fontId="18" fillId="7" borderId="15" xfId="0" applyNumberFormat="1" applyFont="1" applyFill="1" applyBorder="1"/>
    <xf numFmtId="3" fontId="18" fillId="7" borderId="16" xfId="0" applyNumberFormat="1" applyFont="1" applyFill="1" applyBorder="1"/>
    <xf numFmtId="3" fontId="18" fillId="7" borderId="17" xfId="0" applyNumberFormat="1" applyFont="1" applyFill="1" applyBorder="1"/>
    <xf numFmtId="3" fontId="16" fillId="6" borderId="63" xfId="0" applyNumberFormat="1" applyFont="1" applyFill="1" applyBorder="1" applyAlignment="1">
      <alignment horizontal="center"/>
    </xf>
    <xf numFmtId="3" fontId="16" fillId="6" borderId="64" xfId="0" applyNumberFormat="1" applyFont="1" applyFill="1" applyBorder="1" applyAlignment="1">
      <alignment horizontal="center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26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center"/>
    </xf>
    <xf numFmtId="3" fontId="11" fillId="0" borderId="39" xfId="0" applyNumberFormat="1" applyFont="1" applyFill="1" applyBorder="1" applyAlignment="1">
      <alignment horizontal="center"/>
    </xf>
    <xf numFmtId="3" fontId="26" fillId="0" borderId="12" xfId="0" applyNumberFormat="1" applyFont="1" applyFill="1" applyBorder="1"/>
    <xf numFmtId="3" fontId="11" fillId="0" borderId="43" xfId="0" applyNumberFormat="1" applyFont="1" applyFill="1" applyBorder="1"/>
    <xf numFmtId="3" fontId="11" fillId="0" borderId="39" xfId="0" applyNumberFormat="1" applyFont="1" applyFill="1" applyBorder="1" applyAlignment="1">
      <alignment horizontal="right" indent="1"/>
    </xf>
    <xf numFmtId="3" fontId="18" fillId="0" borderId="12" xfId="0" applyNumberFormat="1" applyFont="1" applyFill="1" applyBorder="1" applyAlignment="1">
      <alignment horizontal="right" indent="1"/>
    </xf>
    <xf numFmtId="175" fontId="12" fillId="6" borderId="26" xfId="0" applyNumberFormat="1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4" fontId="12" fillId="6" borderId="26" xfId="0" applyNumberFormat="1" applyFont="1" applyFill="1" applyBorder="1" applyAlignment="1">
      <alignment horizontal="center" vertical="center" wrapText="1"/>
    </xf>
    <xf numFmtId="164" fontId="12" fillId="6" borderId="26" xfId="0" applyNumberFormat="1" applyFont="1" applyFill="1" applyBorder="1" applyAlignment="1">
      <alignment horizontal="center" vertical="center" wrapText="1"/>
    </xf>
    <xf numFmtId="14" fontId="12" fillId="6" borderId="26" xfId="0" applyNumberFormat="1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4" fontId="11" fillId="0" borderId="0" xfId="0" applyNumberFormat="1" applyFont="1"/>
    <xf numFmtId="177" fontId="6" fillId="0" borderId="0" xfId="1" applyNumberFormat="1" applyFont="1" applyFill="1"/>
    <xf numFmtId="3" fontId="2" fillId="0" borderId="12" xfId="0" applyNumberFormat="1" applyFont="1" applyFill="1" applyBorder="1" applyAlignment="1">
      <alignment horizontal="right" indent="1"/>
    </xf>
    <xf numFmtId="175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14" fontId="7" fillId="0" borderId="0" xfId="0" applyNumberFormat="1" applyFont="1" applyFill="1" applyBorder="1"/>
    <xf numFmtId="4" fontId="4" fillId="0" borderId="0" xfId="0" applyNumberFormat="1" applyFont="1"/>
    <xf numFmtId="43" fontId="4" fillId="0" borderId="0" xfId="1" applyFont="1"/>
    <xf numFmtId="0" fontId="2" fillId="0" borderId="10" xfId="0" applyFont="1" applyFill="1" applyBorder="1" applyAlignment="1">
      <alignment horizontal="left" indent="2"/>
    </xf>
    <xf numFmtId="0" fontId="11" fillId="0" borderId="0" xfId="0" applyFont="1" applyFill="1"/>
    <xf numFmtId="3" fontId="18" fillId="0" borderId="42" xfId="0" applyNumberFormat="1" applyFont="1" applyFill="1" applyBorder="1"/>
    <xf numFmtId="0" fontId="12" fillId="6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5" fontId="7" fillId="4" borderId="2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vertical="center"/>
    </xf>
    <xf numFmtId="164" fontId="7" fillId="4" borderId="3" xfId="0" applyNumberFormat="1" applyFont="1" applyFill="1" applyBorder="1" applyAlignment="1">
      <alignment vertical="center"/>
    </xf>
    <xf numFmtId="14" fontId="7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7" xfId="0" applyFont="1" applyFill="1" applyBorder="1" applyAlignment="1">
      <alignment horizontal="center" vertical="center"/>
    </xf>
    <xf numFmtId="17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Alignment="1">
      <alignment vertical="center"/>
    </xf>
    <xf numFmtId="175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14" fontId="7" fillId="0" borderId="0" xfId="0" applyNumberFormat="1" applyFont="1" applyAlignment="1">
      <alignment vertical="center"/>
    </xf>
    <xf numFmtId="175" fontId="7" fillId="4" borderId="3" xfId="0" applyNumberFormat="1" applyFont="1" applyFill="1" applyBorder="1" applyAlignment="1">
      <alignment horizontal="center" vertical="center"/>
    </xf>
    <xf numFmtId="175" fontId="7" fillId="0" borderId="3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vertical="center"/>
    </xf>
    <xf numFmtId="3" fontId="11" fillId="0" borderId="29" xfId="0" applyNumberFormat="1" applyFont="1" applyBorder="1"/>
    <xf numFmtId="3" fontId="11" fillId="0" borderId="30" xfId="0" applyNumberFormat="1" applyFont="1" applyBorder="1"/>
    <xf numFmtId="3" fontId="11" fillId="0" borderId="50" xfId="0" applyNumberFormat="1" applyFont="1" applyBorder="1"/>
    <xf numFmtId="3" fontId="10" fillId="5" borderId="18" xfId="0" applyNumberFormat="1" applyFont="1" applyFill="1" applyBorder="1" applyAlignment="1">
      <alignment horizontal="center"/>
    </xf>
    <xf numFmtId="0" fontId="7" fillId="4" borderId="3" xfId="0" applyFont="1" applyFill="1" applyBorder="1" applyAlignment="1">
      <alignment horizontal="left" vertic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178" fontId="7" fillId="0" borderId="0" xfId="5" applyNumberFormat="1" applyFont="1"/>
    <xf numFmtId="14" fontId="4" fillId="0" borderId="0" xfId="0" applyNumberFormat="1" applyFont="1"/>
    <xf numFmtId="164" fontId="4" fillId="0" borderId="3" xfId="0" applyNumberFormat="1" applyFont="1" applyBorder="1"/>
    <xf numFmtId="164" fontId="4" fillId="0" borderId="47" xfId="0" applyNumberFormat="1" applyFont="1" applyBorder="1"/>
    <xf numFmtId="167" fontId="2" fillId="0" borderId="0" xfId="0" applyNumberFormat="1" applyFont="1"/>
    <xf numFmtId="0" fontId="7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3" fontId="10" fillId="0" borderId="30" xfId="0" applyNumberFormat="1" applyFont="1" applyBorder="1" applyAlignment="1">
      <alignment horizontal="right"/>
    </xf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8" fillId="7" borderId="65" xfId="0" applyNumberFormat="1" applyFont="1" applyFill="1" applyBorder="1"/>
    <xf numFmtId="3" fontId="18" fillId="7" borderId="27" xfId="0" applyNumberFormat="1" applyFont="1" applyFill="1" applyBorder="1"/>
    <xf numFmtId="3" fontId="10" fillId="0" borderId="50" xfId="0" applyNumberFormat="1" applyFont="1" applyBorder="1" applyAlignment="1">
      <alignment horizontal="right"/>
    </xf>
    <xf numFmtId="3" fontId="16" fillId="6" borderId="6" xfId="0" applyNumberFormat="1" applyFont="1" applyFill="1" applyBorder="1" applyAlignment="1">
      <alignment horizontal="center"/>
    </xf>
    <xf numFmtId="3" fontId="16" fillId="6" borderId="28" xfId="0" applyNumberFormat="1" applyFont="1" applyFill="1" applyBorder="1" applyAlignment="1">
      <alignment horizontal="center"/>
    </xf>
    <xf numFmtId="3" fontId="16" fillId="6" borderId="66" xfId="0" applyNumberFormat="1" applyFont="1" applyFill="1" applyBorder="1" applyAlignment="1">
      <alignment horizontal="center"/>
    </xf>
    <xf numFmtId="3" fontId="14" fillId="7" borderId="25" xfId="0" applyNumberFormat="1" applyFont="1" applyFill="1" applyBorder="1" applyAlignment="1">
      <alignment horizontal="center"/>
    </xf>
    <xf numFmtId="3" fontId="18" fillId="7" borderId="26" xfId="0" applyNumberFormat="1" applyFont="1" applyFill="1" applyBorder="1"/>
    <xf numFmtId="3" fontId="18" fillId="7" borderId="58" xfId="0" applyNumberFormat="1" applyFont="1" applyFill="1" applyBorder="1"/>
    <xf numFmtId="3" fontId="10" fillId="0" borderId="29" xfId="0" applyNumberFormat="1" applyFont="1" applyBorder="1" applyAlignment="1">
      <alignment horizontal="right"/>
    </xf>
    <xf numFmtId="3" fontId="10" fillId="0" borderId="41" xfId="0" applyNumberFormat="1" applyFont="1" applyBorder="1" applyAlignment="1">
      <alignment horizontal="right"/>
    </xf>
    <xf numFmtId="3" fontId="10" fillId="0" borderId="49" xfId="0" applyNumberFormat="1" applyFont="1" applyBorder="1" applyAlignment="1">
      <alignment horizontal="right"/>
    </xf>
    <xf numFmtId="3" fontId="11" fillId="0" borderId="19" xfId="0" applyNumberFormat="1" applyFont="1" applyBorder="1"/>
    <xf numFmtId="3" fontId="11" fillId="0" borderId="21" xfId="0" applyNumberFormat="1" applyFont="1" applyBorder="1"/>
    <xf numFmtId="3" fontId="12" fillId="6" borderId="55" xfId="0" applyNumberFormat="1" applyFont="1" applyFill="1" applyBorder="1"/>
    <xf numFmtId="166" fontId="10" fillId="5" borderId="15" xfId="0" applyNumberFormat="1" applyFont="1" applyFill="1" applyBorder="1" applyAlignment="1">
      <alignment horizontal="center"/>
    </xf>
    <xf numFmtId="166" fontId="10" fillId="5" borderId="17" xfId="0" applyNumberFormat="1" applyFont="1" applyFill="1" applyBorder="1" applyAlignment="1">
      <alignment horizontal="center"/>
    </xf>
    <xf numFmtId="3" fontId="14" fillId="7" borderId="67" xfId="0" applyNumberFormat="1" applyFont="1" applyFill="1" applyBorder="1" applyAlignment="1">
      <alignment horizontal="center"/>
    </xf>
    <xf numFmtId="3" fontId="10" fillId="0" borderId="40" xfId="0" applyNumberFormat="1" applyFont="1" applyBorder="1" applyAlignment="1">
      <alignment horizontal="right"/>
    </xf>
    <xf numFmtId="3" fontId="12" fillId="6" borderId="57" xfId="0" applyNumberFormat="1" applyFont="1" applyFill="1" applyBorder="1"/>
    <xf numFmtId="3" fontId="12" fillId="6" borderId="56" xfId="0" applyNumberFormat="1" applyFont="1" applyFill="1" applyBorder="1"/>
    <xf numFmtId="166" fontId="10" fillId="5" borderId="16" xfId="0" applyNumberFormat="1" applyFont="1" applyFill="1" applyBorder="1" applyAlignment="1">
      <alignment horizontal="center"/>
    </xf>
    <xf numFmtId="3" fontId="12" fillId="6" borderId="34" xfId="0" applyNumberFormat="1" applyFont="1" applyFill="1" applyBorder="1"/>
    <xf numFmtId="166" fontId="10" fillId="5" borderId="14" xfId="0" applyNumberFormat="1" applyFont="1" applyFill="1" applyBorder="1" applyAlignment="1">
      <alignment horizontal="center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3" fontId="12" fillId="6" borderId="5" xfId="0" applyNumberFormat="1" applyFont="1" applyFill="1" applyBorder="1"/>
    <xf numFmtId="3" fontId="12" fillId="6" borderId="7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2" fillId="4" borderId="27" xfId="1" applyNumberFormat="1" applyFont="1" applyFill="1" applyBorder="1"/>
    <xf numFmtId="0" fontId="3" fillId="3" borderId="25" xfId="0" applyFont="1" applyFill="1" applyBorder="1"/>
    <xf numFmtId="164" fontId="3" fillId="3" borderId="26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0" xfId="0" applyNumberFormat="1" applyFont="1" applyFill="1" applyBorder="1"/>
    <xf numFmtId="3" fontId="18" fillId="0" borderId="11" xfId="0" applyNumberFormat="1" applyFont="1" applyFill="1" applyBorder="1"/>
    <xf numFmtId="0" fontId="0" fillId="0" borderId="0" xfId="0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vertical="center"/>
    </xf>
    <xf numFmtId="43" fontId="7" fillId="0" borderId="0" xfId="1" applyFont="1" applyFill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6" fillId="4" borderId="10" xfId="0" applyFont="1" applyFill="1" applyBorder="1"/>
    <xf numFmtId="0" fontId="2" fillId="4" borderId="10" xfId="0" applyFont="1" applyFill="1" applyBorder="1"/>
    <xf numFmtId="0" fontId="6" fillId="4" borderId="11" xfId="0" applyFont="1" applyFill="1" applyBorder="1"/>
    <xf numFmtId="14" fontId="6" fillId="4" borderId="12" xfId="0" applyNumberFormat="1" applyFont="1" applyFill="1" applyBorder="1"/>
    <xf numFmtId="0" fontId="6" fillId="4" borderId="12" xfId="0" applyFont="1" applyFill="1" applyBorder="1"/>
    <xf numFmtId="4" fontId="6" fillId="4" borderId="12" xfId="0" applyNumberFormat="1" applyFont="1" applyFill="1" applyBorder="1"/>
    <xf numFmtId="164" fontId="6" fillId="4" borderId="12" xfId="0" applyNumberFormat="1" applyFont="1" applyFill="1" applyBorder="1"/>
    <xf numFmtId="14" fontId="6" fillId="4" borderId="13" xfId="0" applyNumberFormat="1" applyFont="1" applyFill="1" applyBorder="1"/>
    <xf numFmtId="0" fontId="2" fillId="4" borderId="11" xfId="0" applyFont="1" applyFill="1" applyBorder="1"/>
    <xf numFmtId="14" fontId="2" fillId="4" borderId="12" xfId="0" applyNumberFormat="1" applyFont="1" applyFill="1" applyBorder="1"/>
    <xf numFmtId="0" fontId="2" fillId="4" borderId="12" xfId="0" applyFont="1" applyFill="1" applyBorder="1"/>
    <xf numFmtId="4" fontId="2" fillId="4" borderId="12" xfId="0" applyNumberFormat="1" applyFont="1" applyFill="1" applyBorder="1"/>
    <xf numFmtId="164" fontId="2" fillId="4" borderId="12" xfId="0" applyNumberFormat="1" applyFont="1" applyFill="1" applyBorder="1"/>
    <xf numFmtId="14" fontId="2" fillId="4" borderId="13" xfId="0" applyNumberFormat="1" applyFont="1" applyFill="1" applyBorder="1"/>
    <xf numFmtId="14" fontId="6" fillId="0" borderId="12" xfId="0" applyNumberFormat="1" applyFont="1" applyBorder="1"/>
    <xf numFmtId="14" fontId="6" fillId="0" borderId="13" xfId="0" applyNumberFormat="1" applyFont="1" applyBorder="1"/>
    <xf numFmtId="164" fontId="6" fillId="4" borderId="11" xfId="0" applyNumberFormat="1" applyFont="1" applyFill="1" applyBorder="1"/>
    <xf numFmtId="164" fontId="2" fillId="4" borderId="11" xfId="0" applyNumberFormat="1" applyFont="1" applyFill="1" applyBorder="1"/>
    <xf numFmtId="164" fontId="6" fillId="0" borderId="11" xfId="0" applyNumberFormat="1" applyFont="1" applyBorder="1"/>
    <xf numFmtId="0" fontId="6" fillId="4" borderId="13" xfId="0" applyFont="1" applyFill="1" applyBorder="1"/>
    <xf numFmtId="4" fontId="2" fillId="4" borderId="11" xfId="0" applyNumberFormat="1" applyFont="1" applyFill="1" applyBorder="1"/>
    <xf numFmtId="0" fontId="2" fillId="4" borderId="13" xfId="0" applyFont="1" applyFill="1" applyBorder="1"/>
    <xf numFmtId="0" fontId="6" fillId="0" borderId="13" xfId="0" applyFont="1" applyBorder="1"/>
    <xf numFmtId="4" fontId="6" fillId="4" borderId="10" xfId="0" applyNumberFormat="1" applyFont="1" applyFill="1" applyBorder="1"/>
    <xf numFmtId="4" fontId="2" fillId="4" borderId="10" xfId="0" applyNumberFormat="1" applyFont="1" applyFill="1" applyBorder="1"/>
    <xf numFmtId="4" fontId="6" fillId="0" borderId="10" xfId="0" applyNumberFormat="1" applyFont="1" applyFill="1" applyBorder="1"/>
    <xf numFmtId="4" fontId="6" fillId="0" borderId="14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14" fontId="7" fillId="0" borderId="20" xfId="0" applyNumberFormat="1" applyFont="1" applyFill="1" applyBorder="1"/>
    <xf numFmtId="14" fontId="7" fillId="0" borderId="16" xfId="0" applyNumberFormat="1" applyFont="1" applyFill="1" applyBorder="1"/>
    <xf numFmtId="14" fontId="7" fillId="0" borderId="17" xfId="0" applyNumberFormat="1" applyFont="1" applyFill="1" applyBorder="1" applyAlignment="1">
      <alignment horizontal="right"/>
    </xf>
    <xf numFmtId="16" fontId="7" fillId="0" borderId="0" xfId="0" applyNumberFormat="1" applyFont="1"/>
    <xf numFmtId="0" fontId="7" fillId="4" borderId="0" xfId="0" applyNumberFormat="1" applyFont="1" applyFill="1" applyBorder="1" applyAlignment="1">
      <alignment horizontal="center"/>
    </xf>
    <xf numFmtId="0" fontId="4" fillId="4" borderId="0" xfId="0" applyFont="1" applyFill="1" applyBorder="1" applyAlignment="1">
      <alignment vertical="center" wrapText="1"/>
    </xf>
    <xf numFmtId="0" fontId="7" fillId="4" borderId="32" xfId="0" applyNumberFormat="1" applyFont="1" applyFill="1" applyBorder="1"/>
    <xf numFmtId="164" fontId="4" fillId="4" borderId="32" xfId="0" applyNumberFormat="1" applyFont="1" applyFill="1" applyBorder="1"/>
    <xf numFmtId="164" fontId="7" fillId="4" borderId="60" xfId="0" applyNumberFormat="1" applyFont="1" applyFill="1" applyBorder="1"/>
    <xf numFmtId="164" fontId="7" fillId="4" borderId="61" xfId="0" applyNumberFormat="1" applyFont="1" applyFill="1" applyBorder="1"/>
    <xf numFmtId="0" fontId="4" fillId="4" borderId="61" xfId="0" applyFont="1" applyFill="1" applyBorder="1" applyAlignment="1">
      <alignment vertical="center"/>
    </xf>
    <xf numFmtId="0" fontId="4" fillId="4" borderId="22" xfId="0" applyFont="1" applyFill="1" applyBorder="1" applyAlignment="1">
      <alignment vertical="center" wrapText="1"/>
    </xf>
    <xf numFmtId="0" fontId="4" fillId="4" borderId="35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2" fillId="0" borderId="10" xfId="0" applyFont="1" applyFill="1" applyBorder="1"/>
    <xf numFmtId="3" fontId="26" fillId="0" borderId="11" xfId="0" applyNumberFormat="1" applyFont="1" applyFill="1" applyBorder="1"/>
    <xf numFmtId="3" fontId="26" fillId="0" borderId="42" xfId="0" applyNumberFormat="1" applyFont="1" applyFill="1" applyBorder="1" applyAlignment="1">
      <alignment horizontal="right" indent="1"/>
    </xf>
    <xf numFmtId="0" fontId="6" fillId="0" borderId="10" xfId="0" applyFont="1" applyBorder="1" applyAlignment="1">
      <alignment horizontal="left" indent="1"/>
    </xf>
    <xf numFmtId="3" fontId="6" fillId="0" borderId="12" xfId="0" applyNumberFormat="1" applyFont="1" applyBorder="1" applyAlignment="1">
      <alignment horizontal="right" indent="1"/>
    </xf>
    <xf numFmtId="3" fontId="6" fillId="0" borderId="42" xfId="0" applyNumberFormat="1" applyFont="1" applyBorder="1" applyAlignment="1">
      <alignment horizontal="right" indent="1"/>
    </xf>
    <xf numFmtId="3" fontId="6" fillId="0" borderId="13" xfId="0" applyNumberFormat="1" applyFont="1" applyBorder="1" applyAlignment="1">
      <alignment horizontal="right" indent="1"/>
    </xf>
    <xf numFmtId="3" fontId="6" fillId="0" borderId="43" xfId="0" applyNumberFormat="1" applyFont="1" applyBorder="1" applyAlignment="1">
      <alignment horizontal="right" indent="1"/>
    </xf>
    <xf numFmtId="3" fontId="27" fillId="0" borderId="12" xfId="0" applyNumberFormat="1" applyFont="1" applyBorder="1" applyAlignment="1">
      <alignment horizontal="right" indent="1"/>
    </xf>
    <xf numFmtId="4" fontId="3" fillId="4" borderId="32" xfId="0" applyNumberFormat="1" applyFont="1" applyFill="1" applyBorder="1"/>
    <xf numFmtId="0" fontId="4" fillId="4" borderId="32" xfId="0" applyFont="1" applyFill="1" applyBorder="1" applyAlignment="1">
      <alignment vertical="center" wrapText="1"/>
    </xf>
    <xf numFmtId="0" fontId="4" fillId="4" borderId="60" xfId="0" applyFont="1" applyFill="1" applyBorder="1" applyAlignment="1">
      <alignment vertical="center"/>
    </xf>
    <xf numFmtId="3" fontId="26" fillId="0" borderId="13" xfId="0" applyNumberFormat="1" applyFont="1" applyFill="1" applyBorder="1" applyAlignment="1">
      <alignment horizontal="right" indent="1"/>
    </xf>
    <xf numFmtId="175" fontId="7" fillId="0" borderId="0" xfId="0" applyNumberFormat="1" applyFont="1" applyAlignment="1">
      <alignment horizontal="left" vertical="center"/>
    </xf>
    <xf numFmtId="0" fontId="7" fillId="4" borderId="0" xfId="0" applyFont="1" applyFill="1"/>
    <xf numFmtId="0" fontId="4" fillId="4" borderId="0" xfId="0" applyFont="1" applyFill="1"/>
    <xf numFmtId="0" fontId="4" fillId="4" borderId="0" xfId="0" applyFont="1" applyFill="1" applyAlignment="1">
      <alignment vertical="center" wrapText="1"/>
    </xf>
    <xf numFmtId="0" fontId="4" fillId="4" borderId="0" xfId="0" applyFont="1" applyFill="1" applyAlignment="1">
      <alignment vertical="center"/>
    </xf>
    <xf numFmtId="175" fontId="7" fillId="4" borderId="0" xfId="0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175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" fontId="4" fillId="0" borderId="0" xfId="0" applyNumberFormat="1" applyFont="1" applyBorder="1"/>
    <xf numFmtId="164" fontId="4" fillId="0" borderId="0" xfId="0" applyNumberFormat="1" applyFont="1" applyBorder="1"/>
    <xf numFmtId="17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/>
    <xf numFmtId="175" fontId="5" fillId="0" borderId="0" xfId="0" applyNumberFormat="1" applyFont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64" fontId="3" fillId="0" borderId="0" xfId="0" applyNumberFormat="1" applyFont="1" applyBorder="1"/>
    <xf numFmtId="164" fontId="5" fillId="0" borderId="0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3" fontId="26" fillId="0" borderId="12" xfId="0" applyNumberFormat="1" applyFont="1" applyBorder="1" applyAlignment="1">
      <alignment horizontal="right" indent="1"/>
    </xf>
    <xf numFmtId="0" fontId="7" fillId="0" borderId="0" xfId="0" applyFont="1" applyBorder="1" applyAlignment="1">
      <alignment horizontal="center"/>
    </xf>
    <xf numFmtId="0" fontId="6" fillId="0" borderId="25" xfId="0" applyFont="1" applyBorder="1"/>
    <xf numFmtId="14" fontId="6" fillId="0" borderId="26" xfId="0" applyNumberFormat="1" applyFont="1" applyBorder="1"/>
    <xf numFmtId="0" fontId="6" fillId="0" borderId="26" xfId="0" applyFont="1" applyBorder="1"/>
    <xf numFmtId="4" fontId="6" fillId="0" borderId="26" xfId="0" applyNumberFormat="1" applyFont="1" applyBorder="1"/>
    <xf numFmtId="14" fontId="6" fillId="0" borderId="27" xfId="0" applyNumberFormat="1" applyFont="1" applyBorder="1"/>
    <xf numFmtId="164" fontId="6" fillId="0" borderId="25" xfId="0" applyNumberFormat="1" applyFont="1" applyBorder="1"/>
    <xf numFmtId="0" fontId="6" fillId="0" borderId="27" xfId="0" applyFont="1" applyBorder="1"/>
    <xf numFmtId="4" fontId="6" fillId="0" borderId="0" xfId="0" applyNumberFormat="1" applyFont="1" applyBorder="1"/>
    <xf numFmtId="4" fontId="2" fillId="0" borderId="0" xfId="0" applyNumberFormat="1" applyFont="1" applyFill="1"/>
    <xf numFmtId="9" fontId="2" fillId="0" borderId="0" xfId="0" applyNumberFormat="1" applyFont="1" applyFill="1"/>
    <xf numFmtId="164" fontId="2" fillId="0" borderId="0" xfId="0" applyNumberFormat="1" applyFont="1" applyFill="1"/>
    <xf numFmtId="175" fontId="7" fillId="4" borderId="3" xfId="0" applyNumberFormat="1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9" xfId="0" applyFont="1" applyFill="1" applyBorder="1"/>
    <xf numFmtId="0" fontId="2" fillId="0" borderId="11" xfId="0" applyFont="1" applyFill="1" applyBorder="1"/>
    <xf numFmtId="0" fontId="2" fillId="0" borderId="21" xfId="0" applyFont="1" applyFill="1" applyBorder="1"/>
    <xf numFmtId="0" fontId="2" fillId="0" borderId="13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164" fontId="7" fillId="0" borderId="20" xfId="0" applyNumberFormat="1" applyFont="1" applyBorder="1"/>
    <xf numFmtId="164" fontId="7" fillId="0" borderId="21" xfId="0" applyNumberFormat="1" applyFont="1" applyBorder="1"/>
    <xf numFmtId="0" fontId="7" fillId="0" borderId="12" xfId="0" applyFont="1" applyBorder="1" applyAlignment="1">
      <alignment horizontal="center"/>
    </xf>
    <xf numFmtId="164" fontId="7" fillId="0" borderId="12" xfId="0" applyNumberFormat="1" applyFont="1" applyBorder="1"/>
    <xf numFmtId="164" fontId="7" fillId="0" borderId="13" xfId="0" applyNumberFormat="1" applyFont="1" applyBorder="1"/>
    <xf numFmtId="164" fontId="4" fillId="0" borderId="12" xfId="0" applyNumberFormat="1" applyFont="1" applyBorder="1"/>
    <xf numFmtId="164" fontId="4" fillId="0" borderId="13" xfId="0" applyNumberFormat="1" applyFont="1" applyBorder="1"/>
    <xf numFmtId="164" fontId="4" fillId="0" borderId="17" xfId="0" applyNumberFormat="1" applyFont="1" applyBorder="1"/>
    <xf numFmtId="164" fontId="7" fillId="0" borderId="61" xfId="0" applyNumberFormat="1" applyFont="1" applyFill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5" fillId="0" borderId="6" xfId="0" applyNumberFormat="1" applyFont="1" applyFill="1" applyBorder="1"/>
    <xf numFmtId="0" fontId="3" fillId="3" borderId="26" xfId="0" applyFont="1" applyFill="1" applyBorder="1"/>
    <xf numFmtId="4" fontId="3" fillId="3" borderId="26" xfId="0" applyNumberFormat="1" applyFont="1" applyFill="1" applyBorder="1"/>
    <xf numFmtId="14" fontId="3" fillId="3" borderId="26" xfId="0" applyNumberFormat="1" applyFont="1" applyFill="1" applyBorder="1"/>
    <xf numFmtId="14" fontId="3" fillId="3" borderId="27" xfId="0" applyNumberFormat="1" applyFont="1" applyFill="1" applyBorder="1" applyAlignment="1">
      <alignment horizontal="right"/>
    </xf>
    <xf numFmtId="14" fontId="7" fillId="0" borderId="27" xfId="0" applyNumberFormat="1" applyFont="1" applyFill="1" applyBorder="1" applyAlignment="1">
      <alignment horizontal="right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12" fillId="8" borderId="6" xfId="0" applyFont="1" applyFill="1" applyBorder="1" applyAlignment="1">
      <alignment horizontal="right"/>
    </xf>
    <xf numFmtId="3" fontId="12" fillId="8" borderId="6" xfId="0" applyNumberFormat="1" applyFont="1" applyFill="1" applyBorder="1" applyAlignment="1">
      <alignment horizontal="center"/>
    </xf>
    <xf numFmtId="14" fontId="12" fillId="8" borderId="6" xfId="0" applyNumberFormat="1" applyFont="1" applyFill="1" applyBorder="1" applyAlignment="1">
      <alignment horizontal="center"/>
    </xf>
    <xf numFmtId="14" fontId="12" fillId="8" borderId="7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5" xfId="0" applyFont="1" applyFill="1" applyBorder="1"/>
    <xf numFmtId="3" fontId="2" fillId="4" borderId="44" xfId="0" applyNumberFormat="1" applyFont="1" applyFill="1" applyBorder="1"/>
    <xf numFmtId="14" fontId="7" fillId="4" borderId="14" xfId="0" applyNumberFormat="1" applyFont="1" applyFill="1" applyBorder="1" applyAlignment="1">
      <alignment horizontal="center"/>
    </xf>
    <xf numFmtId="3" fontId="7" fillId="4" borderId="54" xfId="0" applyNumberFormat="1" applyFont="1" applyFill="1" applyBorder="1" applyAlignment="1">
      <alignment horizontal="right"/>
    </xf>
    <xf numFmtId="3" fontId="7" fillId="4" borderId="13" xfId="0" applyNumberFormat="1" applyFont="1" applyFill="1" applyBorder="1" applyAlignment="1">
      <alignment horizontal="right"/>
    </xf>
    <xf numFmtId="3" fontId="2" fillId="4" borderId="17" xfId="0" applyNumberFormat="1" applyFont="1" applyFill="1" applyBorder="1"/>
    <xf numFmtId="0" fontId="2" fillId="4" borderId="15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3" fontId="6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0" fontId="2" fillId="0" borderId="0" xfId="0" applyFont="1" applyFill="1" applyBorder="1"/>
    <xf numFmtId="3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3" fontId="32" fillId="0" borderId="52" xfId="0" applyNumberFormat="1" applyFont="1" applyFill="1" applyBorder="1" applyAlignment="1">
      <alignment horizontal="right"/>
    </xf>
    <xf numFmtId="0" fontId="32" fillId="0" borderId="33" xfId="0" applyFont="1" applyFill="1" applyBorder="1"/>
    <xf numFmtId="0" fontId="32" fillId="0" borderId="0" xfId="0" applyFont="1" applyFill="1" applyBorder="1"/>
    <xf numFmtId="3" fontId="2" fillId="0" borderId="0" xfId="0" applyNumberFormat="1" applyFont="1" applyAlignment="1">
      <alignment horizontal="right"/>
    </xf>
    <xf numFmtId="0" fontId="2" fillId="0" borderId="0" xfId="0" applyFont="1" applyFill="1" applyAlignment="1">
      <alignment horizontal="right"/>
    </xf>
    <xf numFmtId="0" fontId="2" fillId="4" borderId="19" xfId="0" applyFont="1" applyFill="1" applyBorder="1"/>
    <xf numFmtId="3" fontId="2" fillId="4" borderId="21" xfId="0" applyNumberFormat="1" applyFont="1" applyFill="1" applyBorder="1"/>
    <xf numFmtId="14" fontId="2" fillId="4" borderId="19" xfId="0" applyNumberFormat="1" applyFont="1" applyFill="1" applyBorder="1" applyAlignment="1">
      <alignment horizontal="right"/>
    </xf>
    <xf numFmtId="3" fontId="7" fillId="4" borderId="20" xfId="0" applyNumberFormat="1" applyFont="1" applyFill="1" applyBorder="1" applyAlignment="1">
      <alignment horizontal="right"/>
    </xf>
    <xf numFmtId="3" fontId="7" fillId="4" borderId="19" xfId="0" applyNumberFormat="1" applyFont="1" applyFill="1" applyBorder="1" applyAlignment="1">
      <alignment horizontal="right"/>
    </xf>
    <xf numFmtId="0" fontId="2" fillId="4" borderId="21" xfId="0" applyFont="1" applyFill="1" applyBorder="1"/>
    <xf numFmtId="14" fontId="2" fillId="4" borderId="15" xfId="0" applyNumberFormat="1" applyFont="1" applyFill="1" applyBorder="1" applyAlignment="1">
      <alignment horizontal="right"/>
    </xf>
    <xf numFmtId="3" fontId="7" fillId="4" borderId="16" xfId="0" applyNumberFormat="1" applyFont="1" applyFill="1" applyBorder="1" applyAlignment="1">
      <alignment horizontal="right"/>
    </xf>
    <xf numFmtId="3" fontId="7" fillId="4" borderId="15" xfId="0" applyNumberFormat="1" applyFont="1" applyFill="1" applyBorder="1" applyAlignment="1">
      <alignment horizontal="right"/>
    </xf>
    <xf numFmtId="3" fontId="7" fillId="4" borderId="17" xfId="0" applyNumberFormat="1" applyFont="1" applyFill="1" applyBorder="1" applyAlignment="1">
      <alignment horizontal="right"/>
    </xf>
    <xf numFmtId="3" fontId="6" fillId="9" borderId="52" xfId="0" applyNumberFormat="1" applyFont="1" applyFill="1" applyBorder="1" applyAlignment="1">
      <alignment horizontal="right"/>
    </xf>
    <xf numFmtId="3" fontId="6" fillId="9" borderId="46" xfId="0" applyNumberFormat="1" applyFont="1" applyFill="1" applyBorder="1" applyAlignment="1">
      <alignment horizontal="right"/>
    </xf>
    <xf numFmtId="3" fontId="4" fillId="9" borderId="5" xfId="0" applyNumberFormat="1" applyFont="1" applyFill="1" applyBorder="1" applyAlignment="1">
      <alignment horizontal="right"/>
    </xf>
    <xf numFmtId="14" fontId="2" fillId="9" borderId="6" xfId="0" applyNumberFormat="1" applyFont="1" applyFill="1" applyBorder="1" applyAlignment="1">
      <alignment horizontal="right"/>
    </xf>
    <xf numFmtId="3" fontId="2" fillId="0" borderId="53" xfId="0" applyNumberFormat="1" applyFont="1" applyFill="1" applyBorder="1"/>
    <xf numFmtId="14" fontId="7" fillId="0" borderId="19" xfId="0" applyNumberFormat="1" applyFont="1" applyFill="1" applyBorder="1" applyAlignment="1">
      <alignment horizontal="right"/>
    </xf>
    <xf numFmtId="3" fontId="7" fillId="0" borderId="20" xfId="0" applyNumberFormat="1" applyFont="1" applyFill="1" applyBorder="1" applyAlignment="1">
      <alignment horizontal="right"/>
    </xf>
    <xf numFmtId="3" fontId="2" fillId="0" borderId="21" xfId="0" applyNumberFormat="1" applyFont="1" applyFill="1" applyBorder="1"/>
    <xf numFmtId="0" fontId="2" fillId="0" borderId="51" xfId="0" applyFont="1" applyFill="1" applyBorder="1"/>
    <xf numFmtId="164" fontId="2" fillId="0" borderId="0" xfId="0" applyNumberFormat="1" applyFont="1" applyAlignment="1">
      <alignment horizontal="right"/>
    </xf>
    <xf numFmtId="0" fontId="2" fillId="0" borderId="0" xfId="0" applyNumberFormat="1" applyFont="1"/>
    <xf numFmtId="3" fontId="2" fillId="0" borderId="42" xfId="0" applyNumberFormat="1" applyFont="1" applyFill="1" applyBorder="1"/>
    <xf numFmtId="14" fontId="7" fillId="0" borderId="11" xfId="0" applyNumberFormat="1" applyFont="1" applyFill="1" applyBorder="1" applyAlignment="1">
      <alignment horizontal="right"/>
    </xf>
    <xf numFmtId="3" fontId="7" fillId="0" borderId="12" xfId="0" applyNumberFormat="1" applyFont="1" applyFill="1" applyBorder="1" applyAlignment="1">
      <alignment horizontal="right"/>
    </xf>
    <xf numFmtId="3" fontId="2" fillId="0" borderId="13" xfId="0" applyNumberFormat="1" applyFont="1" applyFill="1" applyBorder="1"/>
    <xf numFmtId="0" fontId="2" fillId="0" borderId="54" xfId="0" applyFont="1" applyFill="1" applyBorder="1"/>
    <xf numFmtId="14" fontId="6" fillId="0" borderId="0" xfId="0" applyNumberFormat="1" applyFont="1"/>
    <xf numFmtId="0" fontId="6" fillId="0" borderId="0" xfId="0" applyNumberFormat="1" applyFont="1"/>
    <xf numFmtId="164" fontId="6" fillId="0" borderId="0" xfId="0" applyNumberFormat="1" applyFont="1"/>
    <xf numFmtId="3" fontId="2" fillId="0" borderId="58" xfId="0" applyNumberFormat="1" applyFont="1" applyFill="1" applyBorder="1"/>
    <xf numFmtId="3" fontId="7" fillId="0" borderId="26" xfId="0" applyNumberFormat="1" applyFont="1" applyFill="1" applyBorder="1" applyAlignment="1">
      <alignment horizontal="right"/>
    </xf>
    <xf numFmtId="0" fontId="2" fillId="0" borderId="59" xfId="0" applyFont="1" applyFill="1" applyBorder="1"/>
    <xf numFmtId="14" fontId="7" fillId="0" borderId="25" xfId="0" applyNumberFormat="1" applyFont="1" applyFill="1" applyBorder="1" applyAlignment="1">
      <alignment horizontal="right"/>
    </xf>
    <xf numFmtId="3" fontId="2" fillId="0" borderId="27" xfId="0" applyNumberFormat="1" applyFont="1" applyFill="1" applyBorder="1"/>
    <xf numFmtId="3" fontId="6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0" borderId="19" xfId="0" applyNumberFormat="1" applyFont="1" applyFill="1" applyBorder="1" applyAlignment="1">
      <alignment horizontal="right"/>
    </xf>
    <xf numFmtId="3" fontId="2" fillId="0" borderId="17" xfId="0" applyNumberFormat="1" applyFont="1" applyFill="1" applyBorder="1"/>
    <xf numFmtId="14" fontId="2" fillId="0" borderId="15" xfId="0" applyNumberFormat="1" applyFont="1" applyFill="1" applyBorder="1" applyAlignment="1">
      <alignment horizontal="right"/>
    </xf>
    <xf numFmtId="3" fontId="7" fillId="0" borderId="16" xfId="0" applyNumberFormat="1" applyFont="1" applyFill="1" applyBorder="1" applyAlignment="1">
      <alignment horizontal="right"/>
    </xf>
    <xf numFmtId="14" fontId="2" fillId="9" borderId="52" xfId="0" applyNumberFormat="1" applyFont="1" applyFill="1" applyBorder="1" applyAlignment="1">
      <alignment horizontal="right"/>
    </xf>
    <xf numFmtId="14" fontId="2" fillId="0" borderId="11" xfId="0" applyNumberFormat="1" applyFont="1" applyFill="1" applyBorder="1" applyAlignment="1">
      <alignment horizontal="right"/>
    </xf>
    <xf numFmtId="14" fontId="7" fillId="0" borderId="12" xfId="0" applyNumberFormat="1" applyFont="1" applyFill="1" applyBorder="1"/>
    <xf numFmtId="4" fontId="7" fillId="0" borderId="7" xfId="0" applyNumberFormat="1" applyFont="1" applyFill="1" applyBorder="1"/>
    <xf numFmtId="0" fontId="18" fillId="3" borderId="10" xfId="0" applyFont="1" applyFill="1" applyBorder="1"/>
    <xf numFmtId="3" fontId="4" fillId="3" borderId="11" xfId="0" applyNumberFormat="1" applyFont="1" applyFill="1" applyBorder="1"/>
    <xf numFmtId="3" fontId="4" fillId="3" borderId="39" xfId="0" applyNumberFormat="1" applyFont="1" applyFill="1" applyBorder="1"/>
    <xf numFmtId="3" fontId="4" fillId="3" borderId="12" xfId="0" applyNumberFormat="1" applyFont="1" applyFill="1" applyBorder="1"/>
    <xf numFmtId="3" fontId="4" fillId="3" borderId="42" xfId="0" applyNumberFormat="1" applyFont="1" applyFill="1" applyBorder="1"/>
    <xf numFmtId="3" fontId="4" fillId="3" borderId="13" xfId="0" applyNumberFormat="1" applyFont="1" applyFill="1" applyBorder="1"/>
    <xf numFmtId="3" fontId="4" fillId="3" borderId="43" xfId="0" applyNumberFormat="1" applyFont="1" applyFill="1" applyBorder="1"/>
    <xf numFmtId="0" fontId="18" fillId="0" borderId="0" xfId="0" applyFont="1"/>
    <xf numFmtId="3" fontId="18" fillId="0" borderId="0" xfId="0" applyNumberFormat="1" applyFont="1"/>
    <xf numFmtId="3" fontId="10" fillId="0" borderId="13" xfId="0" applyNumberFormat="1" applyFont="1" applyFill="1" applyBorder="1" applyAlignment="1">
      <alignment horizontal="right" indent="1"/>
    </xf>
    <xf numFmtId="167" fontId="7" fillId="0" borderId="0" xfId="0" applyNumberFormat="1" applyFont="1" applyFill="1"/>
    <xf numFmtId="179" fontId="7" fillId="0" borderId="0" xfId="0" applyNumberFormat="1" applyFont="1" applyFill="1"/>
    <xf numFmtId="0" fontId="4" fillId="4" borderId="3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175" fontId="5" fillId="3" borderId="0" xfId="0" applyNumberFormat="1" applyFont="1" applyFill="1" applyBorder="1" applyAlignment="1">
      <alignment horizontal="center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center"/>
    </xf>
    <xf numFmtId="4" fontId="5" fillId="3" borderId="0" xfId="0" applyNumberFormat="1" applyFont="1" applyFill="1" applyBorder="1"/>
    <xf numFmtId="164" fontId="5" fillId="3" borderId="0" xfId="0" applyNumberFormat="1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center"/>
    </xf>
    <xf numFmtId="164" fontId="7" fillId="3" borderId="0" xfId="0" applyNumberFormat="1" applyFont="1" applyFill="1"/>
    <xf numFmtId="0" fontId="4" fillId="3" borderId="0" xfId="0" applyFont="1" applyFill="1"/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vertical="center"/>
    </xf>
    <xf numFmtId="175" fontId="7" fillId="3" borderId="0" xfId="0" applyNumberFormat="1" applyFont="1" applyFill="1" applyAlignment="1">
      <alignment horizontal="center"/>
    </xf>
    <xf numFmtId="4" fontId="7" fillId="3" borderId="0" xfId="0" applyNumberFormat="1" applyFont="1" applyFill="1"/>
    <xf numFmtId="164" fontId="7" fillId="3" borderId="0" xfId="0" applyNumberFormat="1" applyFont="1" applyFill="1" applyBorder="1"/>
    <xf numFmtId="175" fontId="7" fillId="3" borderId="0" xfId="0" applyNumberFormat="1" applyFont="1" applyFill="1" applyBorder="1" applyAlignment="1">
      <alignment horizontal="center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4" fontId="7" fillId="3" borderId="0" xfId="0" applyNumberFormat="1" applyFont="1" applyFill="1" applyBorder="1"/>
    <xf numFmtId="14" fontId="7" fillId="3" borderId="0" xfId="0" applyNumberFormat="1" applyFont="1" applyFill="1"/>
    <xf numFmtId="0" fontId="7" fillId="3" borderId="0" xfId="0" applyFont="1" applyFill="1" applyAlignment="1">
      <alignment vertical="center" wrapText="1"/>
    </xf>
    <xf numFmtId="0" fontId="7" fillId="3" borderId="0" xfId="0" applyFont="1" applyFill="1" applyAlignment="1">
      <alignment vertic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22" xfId="0" applyFont="1" applyFill="1" applyBorder="1"/>
    <xf numFmtId="0" fontId="7" fillId="0" borderId="22" xfId="0" applyFont="1" applyFill="1" applyBorder="1" applyAlignment="1">
      <alignment horizontal="center"/>
    </xf>
    <xf numFmtId="4" fontId="7" fillId="0" borderId="22" xfId="0" applyNumberFormat="1" applyFont="1" applyFill="1" applyBorder="1"/>
    <xf numFmtId="164" fontId="7" fillId="0" borderId="22" xfId="0" applyNumberFormat="1" applyFont="1" applyFill="1" applyBorder="1"/>
    <xf numFmtId="164" fontId="7" fillId="0" borderId="35" xfId="0" applyNumberFormat="1" applyFont="1" applyFill="1" applyBorder="1"/>
    <xf numFmtId="175" fontId="7" fillId="0" borderId="33" xfId="0" applyNumberFormat="1" applyFont="1" applyFill="1" applyBorder="1" applyAlignment="1">
      <alignment horizontal="right"/>
    </xf>
    <xf numFmtId="175" fontId="7" fillId="0" borderId="36" xfId="0" applyNumberFormat="1" applyFont="1" applyFill="1" applyBorder="1" applyAlignment="1">
      <alignment horizontal="right"/>
    </xf>
    <xf numFmtId="164" fontId="17" fillId="0" borderId="28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75" fontId="7" fillId="0" borderId="33" xfId="0" applyNumberFormat="1" applyFont="1" applyFill="1" applyBorder="1" applyAlignment="1">
      <alignment horizontal="center" vertical="center"/>
    </xf>
    <xf numFmtId="164" fontId="7" fillId="0" borderId="61" xfId="0" applyNumberFormat="1" applyFont="1" applyFill="1" applyBorder="1" applyAlignment="1">
      <alignment vertical="center"/>
    </xf>
    <xf numFmtId="175" fontId="7" fillId="0" borderId="36" xfId="0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4" fontId="7" fillId="0" borderId="22" xfId="0" applyNumberFormat="1" applyFont="1" applyFill="1" applyBorder="1" applyAlignment="1">
      <alignment vertical="center"/>
    </xf>
    <xf numFmtId="164" fontId="7" fillId="0" borderId="22" xfId="0" applyNumberFormat="1" applyFont="1" applyFill="1" applyBorder="1" applyAlignment="1">
      <alignment vertical="center"/>
    </xf>
    <xf numFmtId="164" fontId="7" fillId="0" borderId="35" xfId="0" applyNumberFormat="1" applyFont="1" applyFill="1" applyBorder="1" applyAlignment="1">
      <alignment vertical="center"/>
    </xf>
    <xf numFmtId="0" fontId="4" fillId="0" borderId="32" xfId="0" applyFont="1" applyFill="1" applyBorder="1" applyAlignment="1">
      <alignment horizontal="center"/>
    </xf>
    <xf numFmtId="4" fontId="4" fillId="0" borderId="32" xfId="0" applyNumberFormat="1" applyFont="1" applyFill="1" applyBorder="1"/>
    <xf numFmtId="167" fontId="7" fillId="0" borderId="0" xfId="0" applyNumberFormat="1" applyFont="1" applyFill="1" applyBorder="1"/>
    <xf numFmtId="0" fontId="3" fillId="3" borderId="5" xfId="0" applyFont="1" applyFill="1" applyBorder="1"/>
    <xf numFmtId="0" fontId="3" fillId="3" borderId="6" xfId="0" applyFont="1" applyFill="1" applyBorder="1"/>
    <xf numFmtId="164" fontId="3" fillId="3" borderId="6" xfId="0" applyNumberFormat="1" applyFont="1" applyFill="1" applyBorder="1"/>
    <xf numFmtId="14" fontId="3" fillId="3" borderId="6" xfId="0" applyNumberFormat="1" applyFont="1" applyFill="1" applyBorder="1"/>
    <xf numFmtId="14" fontId="3" fillId="3" borderId="7" xfId="0" applyNumberFormat="1" applyFont="1" applyFill="1" applyBorder="1" applyAlignment="1">
      <alignment horizontal="right"/>
    </xf>
    <xf numFmtId="4" fontId="3" fillId="3" borderId="6" xfId="0" applyNumberFormat="1" applyFont="1" applyFill="1" applyBorder="1"/>
    <xf numFmtId="4" fontId="6" fillId="4" borderId="11" xfId="0" applyNumberFormat="1" applyFont="1" applyFill="1" applyBorder="1"/>
    <xf numFmtId="175" fontId="3" fillId="0" borderId="33" xfId="0" applyNumberFormat="1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164" fontId="3" fillId="0" borderId="0" xfId="0" applyNumberFormat="1" applyFont="1" applyFill="1" applyBorder="1"/>
    <xf numFmtId="164" fontId="3" fillId="0" borderId="61" xfId="0" applyNumberFormat="1" applyFont="1" applyFill="1" applyBorder="1"/>
    <xf numFmtId="0" fontId="3" fillId="0" borderId="19" xfId="0" applyFont="1" applyFill="1" applyBorder="1"/>
    <xf numFmtId="0" fontId="3" fillId="0" borderId="20" xfId="0" applyFont="1" applyFill="1" applyBorder="1"/>
    <xf numFmtId="4" fontId="3" fillId="0" borderId="20" xfId="0" applyNumberFormat="1" applyFont="1" applyFill="1" applyBorder="1"/>
    <xf numFmtId="164" fontId="3" fillId="0" borderId="20" xfId="0" applyNumberFormat="1" applyFont="1" applyFill="1" applyBorder="1"/>
    <xf numFmtId="14" fontId="3" fillId="0" borderId="20" xfId="0" applyNumberFormat="1" applyFont="1" applyFill="1" applyBorder="1"/>
    <xf numFmtId="14" fontId="3" fillId="0" borderId="21" xfId="0" applyNumberFormat="1" applyFont="1" applyFill="1" applyBorder="1" applyAlignment="1">
      <alignment horizontal="right"/>
    </xf>
    <xf numFmtId="0" fontId="3" fillId="0" borderId="7" xfId="0" applyFont="1" applyFill="1" applyBorder="1"/>
    <xf numFmtId="3" fontId="2" fillId="4" borderId="42" xfId="0" applyNumberFormat="1" applyFont="1" applyFill="1" applyBorder="1"/>
    <xf numFmtId="14" fontId="7" fillId="4" borderId="11" xfId="0" applyNumberFormat="1" applyFont="1" applyFill="1" applyBorder="1" applyAlignment="1">
      <alignment horizontal="right"/>
    </xf>
    <xf numFmtId="3" fontId="7" fillId="4" borderId="12" xfId="0" applyNumberFormat="1" applyFont="1" applyFill="1" applyBorder="1" applyAlignment="1">
      <alignment horizontal="right"/>
    </xf>
    <xf numFmtId="3" fontId="2" fillId="4" borderId="13" xfId="0" applyNumberFormat="1" applyFont="1" applyFill="1" applyBorder="1"/>
    <xf numFmtId="0" fontId="2" fillId="4" borderId="54" xfId="0" applyFont="1" applyFill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175" fontId="4" fillId="0" borderId="0" xfId="0" applyNumberFormat="1" applyFont="1" applyFill="1" applyBorder="1" applyAlignment="1">
      <alignment horizontal="right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/>
    <xf numFmtId="175" fontId="4" fillId="0" borderId="42" xfId="0" applyNumberFormat="1" applyFont="1" applyFill="1" applyBorder="1" applyAlignment="1">
      <alignment horizontal="right"/>
    </xf>
    <xf numFmtId="0" fontId="4" fillId="0" borderId="39" xfId="0" applyFont="1" applyFill="1" applyBorder="1"/>
    <xf numFmtId="0" fontId="4" fillId="0" borderId="39" xfId="0" applyFont="1" applyFill="1" applyBorder="1" applyAlignment="1">
      <alignment horizontal="center"/>
    </xf>
    <xf numFmtId="4" fontId="4" fillId="0" borderId="39" xfId="0" applyNumberFormat="1" applyFont="1" applyFill="1" applyBorder="1"/>
    <xf numFmtId="164" fontId="4" fillId="0" borderId="39" xfId="0" applyNumberFormat="1" applyFont="1" applyFill="1" applyBorder="1"/>
    <xf numFmtId="0" fontId="17" fillId="0" borderId="39" xfId="0" applyFont="1" applyBorder="1" applyAlignment="1">
      <alignment horizontal="left" vertical="center"/>
    </xf>
    <xf numFmtId="0" fontId="17" fillId="0" borderId="54" xfId="0" applyFont="1" applyBorder="1"/>
    <xf numFmtId="175" fontId="4" fillId="0" borderId="58" xfId="0" applyNumberFormat="1" applyFont="1" applyFill="1" applyBorder="1" applyAlignment="1">
      <alignment horizontal="right"/>
    </xf>
    <xf numFmtId="0" fontId="4" fillId="0" borderId="67" xfId="0" applyFont="1" applyFill="1" applyBorder="1"/>
    <xf numFmtId="0" fontId="4" fillId="0" borderId="67" xfId="0" applyFont="1" applyFill="1" applyBorder="1" applyAlignment="1">
      <alignment horizontal="center"/>
    </xf>
    <xf numFmtId="4" fontId="4" fillId="0" borderId="67" xfId="0" applyNumberFormat="1" applyFont="1" applyFill="1" applyBorder="1"/>
    <xf numFmtId="164" fontId="4" fillId="0" borderId="67" xfId="0" applyNumberFormat="1" applyFont="1" applyFill="1" applyBorder="1"/>
    <xf numFmtId="175" fontId="4" fillId="0" borderId="49" xfId="0" applyNumberFormat="1" applyFont="1" applyFill="1" applyBorder="1" applyAlignment="1">
      <alignment horizontal="right"/>
    </xf>
    <xf numFmtId="0" fontId="4" fillId="0" borderId="40" xfId="0" applyFont="1" applyFill="1" applyBorder="1"/>
    <xf numFmtId="0" fontId="4" fillId="0" borderId="40" xfId="0" applyFont="1" applyFill="1" applyBorder="1" applyAlignment="1">
      <alignment horizontal="center"/>
    </xf>
    <xf numFmtId="4" fontId="4" fillId="0" borderId="40" xfId="0" applyNumberFormat="1" applyFont="1" applyFill="1" applyBorder="1"/>
    <xf numFmtId="164" fontId="4" fillId="0" borderId="40" xfId="0" applyNumberFormat="1" applyFont="1" applyFill="1" applyBorder="1"/>
    <xf numFmtId="0" fontId="17" fillId="0" borderId="54" xfId="0" applyFont="1" applyBorder="1" applyAlignment="1">
      <alignment horizontal="left" vertical="center"/>
    </xf>
    <xf numFmtId="175" fontId="4" fillId="0" borderId="71" xfId="0" applyNumberFormat="1" applyFont="1" applyFill="1" applyBorder="1" applyAlignment="1">
      <alignment horizontal="right"/>
    </xf>
    <xf numFmtId="0" fontId="17" fillId="0" borderId="42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0" fontId="17" fillId="0" borderId="39" xfId="0" applyFont="1" applyFill="1" applyBorder="1" applyAlignment="1">
      <alignment horizontal="center"/>
    </xf>
    <xf numFmtId="0" fontId="17" fillId="0" borderId="54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6" fillId="0" borderId="0" xfId="0" applyNumberFormat="1" applyFont="1" applyFill="1"/>
    <xf numFmtId="175" fontId="3" fillId="0" borderId="36" xfId="0" applyNumberFormat="1" applyFont="1" applyFill="1" applyBorder="1" applyAlignment="1">
      <alignment horizontal="right"/>
    </xf>
    <xf numFmtId="0" fontId="3" fillId="0" borderId="22" xfId="0" applyFont="1" applyFill="1" applyBorder="1"/>
    <xf numFmtId="0" fontId="3" fillId="0" borderId="22" xfId="0" applyFont="1" applyFill="1" applyBorder="1" applyAlignment="1">
      <alignment horizontal="center"/>
    </xf>
    <xf numFmtId="4" fontId="3" fillId="0" borderId="22" xfId="0" applyNumberFormat="1" applyFont="1" applyFill="1" applyBorder="1"/>
    <xf numFmtId="164" fontId="3" fillId="0" borderId="22" xfId="0" applyNumberFormat="1" applyFont="1" applyFill="1" applyBorder="1"/>
    <xf numFmtId="164" fontId="3" fillId="0" borderId="35" xfId="0" applyNumberFormat="1" applyFont="1" applyFill="1" applyBorder="1"/>
    <xf numFmtId="164" fontId="7" fillId="0" borderId="0" xfId="0" applyNumberFormat="1" applyFont="1" applyFill="1" applyAlignment="1">
      <alignment horizontal="center"/>
    </xf>
    <xf numFmtId="164" fontId="0" fillId="0" borderId="0" xfId="0" applyNumberFormat="1" applyBorder="1"/>
    <xf numFmtId="0" fontId="7" fillId="0" borderId="0" xfId="0" applyFont="1" applyAlignment="1">
      <alignment horizontal="center"/>
    </xf>
    <xf numFmtId="164" fontId="6" fillId="0" borderId="28" xfId="0" applyNumberFormat="1" applyFont="1" applyBorder="1"/>
    <xf numFmtId="175" fontId="7" fillId="0" borderId="31" xfId="0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vertical="center"/>
    </xf>
    <xf numFmtId="0" fontId="7" fillId="0" borderId="32" xfId="0" applyFont="1" applyFill="1" applyBorder="1" applyAlignment="1">
      <alignment horizontal="center" vertical="center"/>
    </xf>
    <xf numFmtId="4" fontId="7" fillId="0" borderId="32" xfId="0" applyNumberFormat="1" applyFont="1" applyFill="1" applyBorder="1" applyAlignment="1">
      <alignment vertical="center"/>
    </xf>
    <xf numFmtId="164" fontId="7" fillId="0" borderId="32" xfId="0" applyNumberFormat="1" applyFont="1" applyFill="1" applyBorder="1" applyAlignment="1">
      <alignment vertical="center"/>
    </xf>
    <xf numFmtId="164" fontId="7" fillId="0" borderId="60" xfId="0" applyNumberFormat="1" applyFont="1" applyFill="1" applyBorder="1" applyAlignment="1">
      <alignment vertical="center"/>
    </xf>
    <xf numFmtId="0" fontId="2" fillId="0" borderId="36" xfId="0" applyFont="1" applyBorder="1"/>
    <xf numFmtId="0" fontId="2" fillId="0" borderId="22" xfId="0" applyFont="1" applyBorder="1"/>
    <xf numFmtId="0" fontId="2" fillId="0" borderId="35" xfId="0" applyFont="1" applyBorder="1"/>
    <xf numFmtId="3" fontId="2" fillId="4" borderId="53" xfId="0" applyNumberFormat="1" applyFont="1" applyFill="1" applyBorder="1"/>
    <xf numFmtId="14" fontId="7" fillId="4" borderId="19" xfId="0" applyNumberFormat="1" applyFont="1" applyFill="1" applyBorder="1" applyAlignment="1">
      <alignment horizontal="right"/>
    </xf>
    <xf numFmtId="0" fontId="2" fillId="4" borderId="51" xfId="0" applyFont="1" applyFill="1" applyBorder="1"/>
    <xf numFmtId="0" fontId="3" fillId="4" borderId="11" xfId="0" applyFont="1" applyFill="1" applyBorder="1"/>
    <xf numFmtId="3" fontId="3" fillId="4" borderId="42" xfId="0" applyNumberFormat="1" applyFont="1" applyFill="1" applyBorder="1"/>
    <xf numFmtId="14" fontId="3" fillId="4" borderId="11" xfId="0" applyNumberFormat="1" applyFont="1" applyFill="1" applyBorder="1" applyAlignment="1">
      <alignment horizontal="right"/>
    </xf>
    <xf numFmtId="3" fontId="3" fillId="4" borderId="12" xfId="0" applyNumberFormat="1" applyFont="1" applyFill="1" applyBorder="1" applyAlignment="1">
      <alignment horizontal="right"/>
    </xf>
    <xf numFmtId="3" fontId="3" fillId="4" borderId="13" xfId="0" applyNumberFormat="1" applyFont="1" applyFill="1" applyBorder="1"/>
    <xf numFmtId="0" fontId="3" fillId="4" borderId="54" xfId="0" applyFont="1" applyFill="1" applyBorder="1"/>
    <xf numFmtId="0" fontId="3" fillId="4" borderId="13" xfId="0" applyFont="1" applyFill="1" applyBorder="1"/>
    <xf numFmtId="3" fontId="2" fillId="4" borderId="58" xfId="0" applyNumberFormat="1" applyFont="1" applyFill="1" applyBorder="1"/>
    <xf numFmtId="3" fontId="7" fillId="4" borderId="26" xfId="0" applyNumberFormat="1" applyFont="1" applyFill="1" applyBorder="1" applyAlignment="1">
      <alignment horizontal="right"/>
    </xf>
    <xf numFmtId="0" fontId="2" fillId="4" borderId="59" xfId="0" applyFont="1" applyFill="1" applyBorder="1"/>
    <xf numFmtId="14" fontId="7" fillId="4" borderId="25" xfId="0" applyNumberFormat="1" applyFont="1" applyFill="1" applyBorder="1" applyAlignment="1">
      <alignment horizontal="right"/>
    </xf>
    <xf numFmtId="3" fontId="2" fillId="4" borderId="27" xfId="0" applyNumberFormat="1" applyFont="1" applyFill="1" applyBorder="1"/>
    <xf numFmtId="3" fontId="7" fillId="4" borderId="53" xfId="0" applyNumberFormat="1" applyFont="1" applyFill="1" applyBorder="1"/>
    <xf numFmtId="3" fontId="7" fillId="4" borderId="21" xfId="0" applyNumberFormat="1" applyFont="1" applyFill="1" applyBorder="1"/>
    <xf numFmtId="0" fontId="7" fillId="4" borderId="51" xfId="0" applyFont="1" applyFill="1" applyBorder="1"/>
    <xf numFmtId="0" fontId="7" fillId="4" borderId="21" xfId="0" applyFont="1" applyFill="1" applyBorder="1"/>
    <xf numFmtId="3" fontId="7" fillId="4" borderId="42" xfId="0" applyNumberFormat="1" applyFont="1" applyFill="1" applyBorder="1"/>
    <xf numFmtId="3" fontId="7" fillId="4" borderId="13" xfId="0" applyNumberFormat="1" applyFont="1" applyFill="1" applyBorder="1"/>
    <xf numFmtId="0" fontId="7" fillId="4" borderId="54" xfId="0" applyFont="1" applyFill="1" applyBorder="1"/>
    <xf numFmtId="3" fontId="7" fillId="4" borderId="58" xfId="0" applyNumberFormat="1" applyFont="1" applyFill="1" applyBorder="1"/>
    <xf numFmtId="0" fontId="7" fillId="4" borderId="59" xfId="0" applyFont="1" applyFill="1" applyBorder="1"/>
    <xf numFmtId="3" fontId="7" fillId="4" borderId="27" xfId="0" applyNumberFormat="1" applyFont="1" applyFill="1" applyBorder="1"/>
    <xf numFmtId="14" fontId="7" fillId="0" borderId="7" xfId="0" applyNumberFormat="1" applyFont="1" applyFill="1" applyBorder="1" applyAlignment="1">
      <alignment horizontal="right"/>
    </xf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46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5" borderId="47" xfId="0" applyNumberFormat="1" applyFont="1" applyFill="1" applyBorder="1" applyAlignment="1">
      <alignment horizontal="center"/>
    </xf>
    <xf numFmtId="0" fontId="4" fillId="0" borderId="55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7" fillId="0" borderId="29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4" fontId="7" fillId="0" borderId="23" xfId="0" applyNumberFormat="1" applyFont="1" applyFill="1" applyBorder="1" applyAlignment="1">
      <alignment horizontal="right" vertical="center"/>
    </xf>
    <xf numFmtId="4" fontId="7" fillId="0" borderId="63" xfId="0" applyNumberFormat="1" applyFont="1" applyFill="1" applyBorder="1" applyAlignment="1">
      <alignment horizontal="right" vertical="center"/>
    </xf>
    <xf numFmtId="4" fontId="7" fillId="0" borderId="4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2" fillId="9" borderId="5" xfId="0" applyFont="1" applyFill="1" applyBorder="1" applyAlignment="1">
      <alignment horizontal="center"/>
    </xf>
    <xf numFmtId="0" fontId="32" fillId="9" borderId="6" xfId="0" applyFont="1" applyFill="1" applyBorder="1" applyAlignment="1">
      <alignment horizontal="center"/>
    </xf>
    <xf numFmtId="0" fontId="32" fillId="9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4" borderId="68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32" fillId="0" borderId="2" xfId="0" applyFont="1" applyFill="1" applyBorder="1" applyAlignment="1">
      <alignment horizontal="center"/>
    </xf>
    <xf numFmtId="0" fontId="32" fillId="0" borderId="3" xfId="0" applyFont="1" applyFill="1" applyBorder="1" applyAlignment="1">
      <alignment horizontal="center"/>
    </xf>
    <xf numFmtId="0" fontId="32" fillId="0" borderId="47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32" fillId="9" borderId="46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4" fontId="6" fillId="0" borderId="46" xfId="0" applyNumberFormat="1" applyFont="1" applyBorder="1" applyAlignment="1">
      <alignment horizontal="center"/>
    </xf>
    <xf numFmtId="4" fontId="6" fillId="0" borderId="47" xfId="0" applyNumberFormat="1" applyFont="1" applyBorder="1" applyAlignment="1">
      <alignment horizontal="center"/>
    </xf>
    <xf numFmtId="11" fontId="6" fillId="0" borderId="46" xfId="0" applyNumberFormat="1" applyFont="1" applyBorder="1" applyAlignment="1">
      <alignment horizontal="center"/>
    </xf>
    <xf numFmtId="11" fontId="6" fillId="0" borderId="47" xfId="0" applyNumberFormat="1" applyFont="1" applyBorder="1" applyAlignment="1">
      <alignment horizontal="center"/>
    </xf>
    <xf numFmtId="4" fontId="6" fillId="0" borderId="42" xfId="0" applyNumberFormat="1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0" fillId="2" borderId="36" xfId="0" applyFont="1" applyFill="1" applyBorder="1" applyAlignment="1">
      <alignment horizontal="left"/>
    </xf>
    <xf numFmtId="0" fontId="20" fillId="2" borderId="22" xfId="0" applyFont="1" applyFill="1" applyBorder="1" applyAlignment="1">
      <alignment horizontal="left"/>
    </xf>
    <xf numFmtId="0" fontId="20" fillId="2" borderId="35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60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175" fontId="4" fillId="0" borderId="2" xfId="0" applyNumberFormat="1" applyFont="1" applyBorder="1" applyAlignment="1">
      <alignment horizontal="center"/>
    </xf>
    <xf numFmtId="17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right" vertical="center"/>
    </xf>
    <xf numFmtId="164" fontId="7" fillId="4" borderId="3" xfId="0" applyNumberFormat="1" applyFont="1" applyFill="1" applyBorder="1" applyAlignment="1">
      <alignment horizontal="right" vertical="center"/>
    </xf>
    <xf numFmtId="175" fontId="7" fillId="4" borderId="3" xfId="0" applyNumberFormat="1" applyFont="1" applyFill="1" applyBorder="1" applyAlignment="1">
      <alignment horizontal="right" vertical="center"/>
    </xf>
    <xf numFmtId="175" fontId="7" fillId="0" borderId="11" xfId="0" applyNumberFormat="1" applyFont="1" applyBorder="1" applyAlignment="1">
      <alignment horizontal="left"/>
    </xf>
    <xf numFmtId="175" fontId="7" fillId="0" borderId="12" xfId="0" applyNumberFormat="1" applyFont="1" applyBorder="1" applyAlignment="1">
      <alignment horizontal="left"/>
    </xf>
    <xf numFmtId="4" fontId="7" fillId="0" borderId="42" xfId="0" applyNumberFormat="1" applyFont="1" applyBorder="1" applyAlignment="1">
      <alignment horizontal="center"/>
    </xf>
    <xf numFmtId="4" fontId="7" fillId="0" borderId="54" xfId="0" applyNumberFormat="1" applyFont="1" applyBorder="1" applyAlignment="1">
      <alignment horizontal="center"/>
    </xf>
    <xf numFmtId="175" fontId="4" fillId="0" borderId="11" xfId="0" applyNumberFormat="1" applyFont="1" applyBorder="1" applyAlignment="1">
      <alignment horizontal="center"/>
    </xf>
    <xf numFmtId="175" fontId="4" fillId="0" borderId="12" xfId="0" applyNumberFormat="1" applyFont="1" applyBorder="1" applyAlignment="1">
      <alignment horizontal="center"/>
    </xf>
    <xf numFmtId="175" fontId="4" fillId="0" borderId="31" xfId="0" applyNumberFormat="1" applyFont="1" applyBorder="1" applyAlignment="1">
      <alignment horizontal="center"/>
    </xf>
    <xf numFmtId="175" fontId="4" fillId="0" borderId="32" xfId="0" applyNumberFormat="1" applyFont="1" applyBorder="1" applyAlignment="1">
      <alignment horizontal="center"/>
    </xf>
    <xf numFmtId="175" fontId="4" fillId="0" borderId="60" xfId="0" applyNumberFormat="1" applyFont="1" applyBorder="1" applyAlignment="1">
      <alignment horizontal="center"/>
    </xf>
    <xf numFmtId="175" fontId="7" fillId="0" borderId="11" xfId="0" applyNumberFormat="1" applyFont="1" applyBorder="1" applyAlignment="1">
      <alignment horizontal="center"/>
    </xf>
    <xf numFmtId="175" fontId="7" fillId="0" borderId="12" xfId="0" applyNumberFormat="1" applyFont="1" applyBorder="1" applyAlignment="1">
      <alignment horizontal="center"/>
    </xf>
    <xf numFmtId="175" fontId="4" fillId="0" borderId="15" xfId="0" applyNumberFormat="1" applyFont="1" applyBorder="1" applyAlignment="1">
      <alignment horizontal="center"/>
    </xf>
    <xf numFmtId="175" fontId="4" fillId="0" borderId="16" xfId="0" applyNumberFormat="1" applyFont="1" applyBorder="1" applyAlignment="1">
      <alignment horizontal="center"/>
    </xf>
    <xf numFmtId="175" fontId="4" fillId="0" borderId="0" xfId="0" applyNumberFormat="1" applyFont="1" applyAlignment="1">
      <alignment horizontal="center"/>
    </xf>
    <xf numFmtId="175" fontId="7" fillId="0" borderId="19" xfId="0" applyNumberFormat="1" applyFont="1" applyBorder="1" applyAlignment="1">
      <alignment horizontal="left"/>
    </xf>
    <xf numFmtId="175" fontId="7" fillId="0" borderId="20" xfId="0" applyNumberFormat="1" applyFont="1" applyBorder="1" applyAlignment="1">
      <alignment horizontal="left"/>
    </xf>
    <xf numFmtId="4" fontId="7" fillId="0" borderId="53" xfId="0" applyNumberFormat="1" applyFont="1" applyBorder="1" applyAlignment="1">
      <alignment horizontal="center"/>
    </xf>
    <xf numFmtId="4" fontId="7" fillId="0" borderId="51" xfId="0" applyNumberFormat="1" applyFont="1" applyBorder="1" applyAlignment="1">
      <alignment horizontal="center"/>
    </xf>
    <xf numFmtId="175" fontId="7" fillId="0" borderId="68" xfId="0" applyNumberFormat="1" applyFont="1" applyBorder="1" applyAlignment="1">
      <alignment horizontal="left"/>
    </xf>
    <xf numFmtId="175" fontId="7" fillId="0" borderId="54" xfId="0" applyNumberFormat="1" applyFont="1" applyBorder="1" applyAlignment="1">
      <alignment horizontal="left"/>
    </xf>
    <xf numFmtId="14" fontId="0" fillId="0" borderId="26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17" fillId="0" borderId="67" xfId="0" applyFont="1" applyBorder="1" applyAlignment="1">
      <alignment horizontal="left" vertical="center"/>
    </xf>
    <xf numFmtId="0" fontId="17" fillId="0" borderId="4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17" fillId="0" borderId="70" xfId="0" applyFont="1" applyBorder="1" applyAlignment="1">
      <alignment horizontal="left" vertical="center"/>
    </xf>
    <xf numFmtId="0" fontId="17" fillId="0" borderId="66" xfId="0" applyFont="1" applyBorder="1" applyAlignment="1">
      <alignment horizontal="left" vertical="center"/>
    </xf>
    <xf numFmtId="0" fontId="36" fillId="0" borderId="0" xfId="0" applyFont="1"/>
    <xf numFmtId="0" fontId="0" fillId="0" borderId="0" xfId="0" applyFill="1" applyBorder="1"/>
    <xf numFmtId="0" fontId="37" fillId="0" borderId="0" xfId="0" applyFont="1"/>
    <xf numFmtId="0" fontId="17" fillId="0" borderId="0" xfId="0" applyFont="1" applyAlignment="1">
      <alignment horizontal="center"/>
    </xf>
    <xf numFmtId="0" fontId="35" fillId="0" borderId="11" xfId="0" applyFont="1" applyBorder="1"/>
    <xf numFmtId="0" fontId="35" fillId="0" borderId="12" xfId="0" applyFont="1" applyBorder="1"/>
    <xf numFmtId="14" fontId="35" fillId="0" borderId="12" xfId="0" applyNumberFormat="1" applyFont="1" applyBorder="1"/>
    <xf numFmtId="164" fontId="35" fillId="0" borderId="13" xfId="0" applyNumberFormat="1" applyFont="1" applyBorder="1"/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64" fontId="0" fillId="0" borderId="13" xfId="0" applyNumberFormat="1" applyBorder="1"/>
    <xf numFmtId="0" fontId="35" fillId="0" borderId="29" xfId="0" applyFont="1" applyBorder="1"/>
    <xf numFmtId="0" fontId="35" fillId="0" borderId="41" xfId="0" applyFont="1" applyBorder="1"/>
    <xf numFmtId="14" fontId="35" fillId="0" borderId="41" xfId="0" applyNumberFormat="1" applyFont="1" applyBorder="1"/>
    <xf numFmtId="164" fontId="35" fillId="0" borderId="30" xfId="0" applyNumberFormat="1" applyFont="1" applyBorder="1"/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4" fontId="0" fillId="0" borderId="26" xfId="0" applyNumberFormat="1" applyBorder="1"/>
    <xf numFmtId="164" fontId="0" fillId="0" borderId="27" xfId="0" applyNumberFormat="1" applyBorder="1"/>
    <xf numFmtId="0" fontId="0" fillId="0" borderId="29" xfId="0" applyBorder="1"/>
    <xf numFmtId="0" fontId="0" fillId="0" borderId="41" xfId="0" applyBorder="1"/>
    <xf numFmtId="14" fontId="0" fillId="0" borderId="41" xfId="0" applyNumberFormat="1" applyBorder="1"/>
    <xf numFmtId="164" fontId="0" fillId="0" borderId="30" xfId="0" applyNumberFormat="1" applyBorder="1"/>
    <xf numFmtId="0" fontId="37" fillId="0" borderId="5" xfId="0" applyFont="1" applyBorder="1" applyAlignment="1">
      <alignment horizontal="center"/>
    </xf>
    <xf numFmtId="0" fontId="37" fillId="0" borderId="6" xfId="0" applyFont="1" applyBorder="1" applyAlignment="1">
      <alignment horizontal="center"/>
    </xf>
    <xf numFmtId="164" fontId="37" fillId="0" borderId="7" xfId="0" applyNumberFormat="1" applyFont="1" applyBorder="1"/>
    <xf numFmtId="0" fontId="35" fillId="0" borderId="25" xfId="0" applyFont="1" applyBorder="1"/>
    <xf numFmtId="0" fontId="35" fillId="0" borderId="26" xfId="0" applyFont="1" applyBorder="1"/>
    <xf numFmtId="14" fontId="35" fillId="0" borderId="26" xfId="0" applyNumberFormat="1" applyFont="1" applyBorder="1"/>
    <xf numFmtId="164" fontId="35" fillId="0" borderId="27" xfId="0" applyNumberFormat="1" applyFont="1" applyBorder="1"/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164" fontId="36" fillId="0" borderId="7" xfId="0" applyNumberFormat="1" applyFont="1" applyBorder="1"/>
    <xf numFmtId="0" fontId="3" fillId="4" borderId="25" xfId="0" applyFont="1" applyFill="1" applyBorder="1"/>
    <xf numFmtId="0" fontId="3" fillId="4" borderId="26" xfId="0" applyFont="1" applyFill="1" applyBorder="1"/>
    <xf numFmtId="4" fontId="3" fillId="4" borderId="26" xfId="0" applyNumberFormat="1" applyFont="1" applyFill="1" applyBorder="1"/>
    <xf numFmtId="164" fontId="3" fillId="4" borderId="26" xfId="0" applyNumberFormat="1" applyFont="1" applyFill="1" applyBorder="1"/>
    <xf numFmtId="14" fontId="3" fillId="4" borderId="26" xfId="0" applyNumberFormat="1" applyFont="1" applyFill="1" applyBorder="1"/>
    <xf numFmtId="14" fontId="3" fillId="4" borderId="27" xfId="0" applyNumberFormat="1" applyFont="1" applyFill="1" applyBorder="1" applyAlignment="1">
      <alignment horizontal="right"/>
    </xf>
    <xf numFmtId="0" fontId="3" fillId="3" borderId="19" xfId="0" applyFont="1" applyFill="1" applyBorder="1"/>
    <xf numFmtId="0" fontId="3" fillId="3" borderId="20" xfId="0" applyFont="1" applyFill="1" applyBorder="1"/>
    <xf numFmtId="4" fontId="5" fillId="3" borderId="20" xfId="0" applyNumberFormat="1" applyFont="1" applyFill="1" applyBorder="1"/>
    <xf numFmtId="164" fontId="3" fillId="3" borderId="20" xfId="0" applyNumberFormat="1" applyFont="1" applyFill="1" applyBorder="1"/>
    <xf numFmtId="14" fontId="3" fillId="3" borderId="20" xfId="0" applyNumberFormat="1" applyFont="1" applyFill="1" applyBorder="1"/>
    <xf numFmtId="14" fontId="3" fillId="3" borderId="21" xfId="0" applyNumberFormat="1" applyFont="1" applyFill="1" applyBorder="1" applyAlignment="1">
      <alignment horizontal="right"/>
    </xf>
    <xf numFmtId="0" fontId="3" fillId="3" borderId="15" xfId="0" applyFont="1" applyFill="1" applyBorder="1"/>
    <xf numFmtId="0" fontId="3" fillId="3" borderId="16" xfId="0" applyFont="1" applyFill="1" applyBorder="1"/>
    <xf numFmtId="4" fontId="5" fillId="3" borderId="16" xfId="0" applyNumberFormat="1" applyFont="1" applyFill="1" applyBorder="1"/>
    <xf numFmtId="164" fontId="3" fillId="3" borderId="16" xfId="0" applyNumberFormat="1" applyFont="1" applyFill="1" applyBorder="1"/>
    <xf numFmtId="14" fontId="3" fillId="3" borderId="16" xfId="0" applyNumberFormat="1" applyFont="1" applyFill="1" applyBorder="1"/>
    <xf numFmtId="14" fontId="3" fillId="3" borderId="17" xfId="0" applyNumberFormat="1" applyFont="1" applyFill="1" applyBorder="1" applyAlignment="1">
      <alignment horizontal="right"/>
    </xf>
  </cellXfs>
  <cellStyles count="6">
    <cellStyle name="Milliers" xfId="1" builtinId="3"/>
    <cellStyle name="Milliers 2" xfId="2"/>
    <cellStyle name="Normal" xfId="0" builtinId="0"/>
    <cellStyle name="Normal 2" xfId="3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5"/>
  <sheetViews>
    <sheetView tabSelected="1" zoomScale="70" zoomScaleNormal="70" workbookViewId="0">
      <pane ySplit="2" topLeftCell="A3" activePane="bottomLeft" state="frozen"/>
      <selection activeCell="A2" sqref="A2:F20"/>
      <selection pane="bottomLeft" activeCell="P51" sqref="P51"/>
    </sheetView>
  </sheetViews>
  <sheetFormatPr baseColWidth="10" defaultRowHeight="15"/>
  <cols>
    <col min="1" max="1" width="26.85546875" style="32" customWidth="1"/>
    <col min="2" max="12" width="14.7109375" style="85" customWidth="1"/>
    <col min="13" max="18" width="14.7109375" style="32" customWidth="1"/>
    <col min="19" max="20" width="11.42578125" style="32"/>
    <col min="21" max="21" width="11.7109375" style="32" bestFit="1" customWidth="1"/>
    <col min="22" max="22" width="21.85546875" style="32" customWidth="1"/>
    <col min="23" max="16384" width="11.42578125" style="32"/>
  </cols>
  <sheetData>
    <row r="1" spans="1:22" s="31" customFormat="1" thickBot="1">
      <c r="B1" s="940" t="s">
        <v>104</v>
      </c>
      <c r="C1" s="941"/>
      <c r="D1" s="940" t="s">
        <v>45</v>
      </c>
      <c r="E1" s="942"/>
      <c r="F1" s="942"/>
      <c r="G1" s="942"/>
      <c r="H1" s="943"/>
      <c r="I1" s="942" t="s">
        <v>46</v>
      </c>
      <c r="J1" s="942"/>
      <c r="K1" s="942"/>
      <c r="L1" s="944"/>
      <c r="M1" s="136" t="s">
        <v>121</v>
      </c>
      <c r="N1" s="136" t="s">
        <v>124</v>
      </c>
      <c r="O1" s="136" t="s">
        <v>127</v>
      </c>
      <c r="P1" s="945" t="s">
        <v>206</v>
      </c>
      <c r="Q1" s="946"/>
      <c r="R1" s="136" t="s">
        <v>219</v>
      </c>
      <c r="S1" s="136" t="s">
        <v>220</v>
      </c>
    </row>
    <row r="2" spans="1:22" ht="15.75" thickBot="1">
      <c r="B2" s="271" t="s">
        <v>103</v>
      </c>
      <c r="C2" s="273" t="s">
        <v>102</v>
      </c>
      <c r="D2" s="271" t="s">
        <v>122</v>
      </c>
      <c r="E2" s="272" t="s">
        <v>103</v>
      </c>
      <c r="F2" s="272" t="s">
        <v>102</v>
      </c>
      <c r="G2" s="272" t="s">
        <v>165</v>
      </c>
      <c r="H2" s="273" t="s">
        <v>180</v>
      </c>
      <c r="I2" s="271" t="s">
        <v>102</v>
      </c>
      <c r="J2" s="272" t="s">
        <v>101</v>
      </c>
      <c r="K2" s="272" t="s">
        <v>165</v>
      </c>
      <c r="L2" s="273" t="s">
        <v>180</v>
      </c>
      <c r="M2" s="516" t="s">
        <v>102</v>
      </c>
      <c r="N2" s="516" t="s">
        <v>125</v>
      </c>
      <c r="O2" s="516" t="s">
        <v>125</v>
      </c>
      <c r="P2" s="271" t="s">
        <v>125</v>
      </c>
      <c r="Q2" s="273" t="s">
        <v>165</v>
      </c>
      <c r="R2" s="516" t="s">
        <v>125</v>
      </c>
      <c r="S2" s="516" t="s">
        <v>125</v>
      </c>
    </row>
    <row r="3" spans="1:22" s="34" customFormat="1" ht="15.75" thickBot="1">
      <c r="A3" s="33" t="s">
        <v>356</v>
      </c>
      <c r="B3" s="550">
        <v>12436.513999999999</v>
      </c>
      <c r="C3" s="551">
        <v>-156141.34</v>
      </c>
      <c r="D3" s="550">
        <v>3631.1660000000002</v>
      </c>
      <c r="E3" s="556">
        <v>14967.339</v>
      </c>
      <c r="F3" s="556">
        <v>-3167210.5780000002</v>
      </c>
      <c r="G3" s="556">
        <v>10564.48</v>
      </c>
      <c r="H3" s="551">
        <v>146.86000000000001</v>
      </c>
      <c r="I3" s="550">
        <v>-528388.15800000005</v>
      </c>
      <c r="J3" s="556">
        <v>4809.2250000000004</v>
      </c>
      <c r="K3" s="556">
        <v>126.5</v>
      </c>
      <c r="L3" s="551">
        <v>1320.15</v>
      </c>
      <c r="M3" s="558">
        <v>-130619.04700000001</v>
      </c>
      <c r="N3" s="558">
        <v>9847.4539999999997</v>
      </c>
      <c r="O3" s="558">
        <v>22812.252</v>
      </c>
      <c r="P3" s="550">
        <v>-135416.53700000001</v>
      </c>
      <c r="Q3" s="551">
        <v>32508.73</v>
      </c>
      <c r="R3" s="558">
        <v>3311.54</v>
      </c>
      <c r="S3" s="558">
        <v>1784.24</v>
      </c>
    </row>
    <row r="4" spans="1:22" s="1" customFormat="1" ht="13.5" thickBot="1">
      <c r="A4" s="35" t="s">
        <v>49</v>
      </c>
      <c r="B4" s="549">
        <f>SUM(B5:B7)</f>
        <v>0</v>
      </c>
      <c r="C4" s="554">
        <f>SUM(C5:C7)</f>
        <v>207154.98200000002</v>
      </c>
      <c r="D4" s="549">
        <f t="shared" ref="D4:P4" si="0">SUM(D5:D7)</f>
        <v>0</v>
      </c>
      <c r="E4" s="555">
        <f>SUM(E5:E7)</f>
        <v>0</v>
      </c>
      <c r="F4" s="555">
        <f>SUM(F5:F7)</f>
        <v>0</v>
      </c>
      <c r="G4" s="555">
        <f>SUM(G5:G7)</f>
        <v>0</v>
      </c>
      <c r="H4" s="554">
        <f>SUM(H5:H7)</f>
        <v>0</v>
      </c>
      <c r="I4" s="549">
        <f t="shared" si="0"/>
        <v>0</v>
      </c>
      <c r="J4" s="555">
        <f>SUM(J5:J7)</f>
        <v>0</v>
      </c>
      <c r="K4" s="555">
        <f t="shared" si="0"/>
        <v>0</v>
      </c>
      <c r="L4" s="554">
        <f t="shared" si="0"/>
        <v>0</v>
      </c>
      <c r="M4" s="557">
        <f t="shared" si="0"/>
        <v>0</v>
      </c>
      <c r="N4" s="557">
        <f t="shared" si="0"/>
        <v>0</v>
      </c>
      <c r="O4" s="557">
        <f t="shared" si="0"/>
        <v>0</v>
      </c>
      <c r="P4" s="564">
        <f t="shared" si="0"/>
        <v>0</v>
      </c>
      <c r="Q4" s="565">
        <f>SUM(R5:R7)</f>
        <v>0</v>
      </c>
      <c r="R4" s="557">
        <f>SUM(S5:S7)</f>
        <v>0</v>
      </c>
      <c r="S4" s="557">
        <f>SUM(T5:T7)</f>
        <v>0</v>
      </c>
    </row>
    <row r="5" spans="1:22">
      <c r="A5" s="27" t="s">
        <v>100</v>
      </c>
      <c r="B5" s="137"/>
      <c r="C5" s="138">
        <f>6818.881+9342.787</f>
        <v>16161.668000000001</v>
      </c>
      <c r="D5" s="137"/>
      <c r="E5" s="139"/>
      <c r="F5" s="139"/>
      <c r="G5" s="139"/>
      <c r="H5" s="345"/>
      <c r="I5" s="513"/>
      <c r="J5" s="139"/>
      <c r="K5" s="139"/>
      <c r="L5" s="514"/>
      <c r="M5" s="515"/>
      <c r="N5" s="514"/>
      <c r="O5" s="514"/>
      <c r="P5" s="547"/>
      <c r="Q5" s="548"/>
      <c r="R5" s="515"/>
      <c r="S5" s="514"/>
    </row>
    <row r="6" spans="1:22">
      <c r="A6" s="27" t="s">
        <v>98</v>
      </c>
      <c r="B6" s="100"/>
      <c r="C6" s="132">
        <v>190993.31400000001</v>
      </c>
      <c r="D6" s="100"/>
      <c r="E6" s="123"/>
      <c r="F6" s="123"/>
      <c r="G6" s="123"/>
      <c r="H6" s="346"/>
      <c r="I6" s="350"/>
      <c r="J6" s="123"/>
      <c r="K6" s="123"/>
      <c r="L6" s="98"/>
      <c r="M6" s="357"/>
      <c r="N6" s="98"/>
      <c r="O6" s="98"/>
      <c r="P6" s="350"/>
      <c r="Q6" s="98"/>
      <c r="R6" s="357"/>
      <c r="S6" s="98"/>
    </row>
    <row r="7" spans="1:22">
      <c r="A7" s="27" t="s">
        <v>50</v>
      </c>
      <c r="B7" s="100"/>
      <c r="C7" s="132"/>
      <c r="D7" s="100"/>
      <c r="E7" s="123"/>
      <c r="F7" s="123"/>
      <c r="G7" s="123"/>
      <c r="H7" s="346"/>
      <c r="I7" s="350"/>
      <c r="J7" s="123"/>
      <c r="K7" s="123"/>
      <c r="L7" s="98"/>
      <c r="M7" s="357"/>
      <c r="N7" s="98"/>
      <c r="O7" s="98"/>
      <c r="P7" s="350"/>
      <c r="Q7" s="98"/>
      <c r="R7" s="357"/>
      <c r="S7" s="98"/>
    </row>
    <row r="8" spans="1:22" s="786" customFormat="1">
      <c r="A8" s="779" t="s">
        <v>51</v>
      </c>
      <c r="B8" s="780">
        <f>B9+B10+B11+B12+B13</f>
        <v>20000</v>
      </c>
      <c r="C8" s="781">
        <f>C9+C10+C11+C12+C13</f>
        <v>1600544.3929999997</v>
      </c>
      <c r="D8" s="780">
        <f>D9+D10+D12+D13+D21+D28</f>
        <v>110000</v>
      </c>
      <c r="E8" s="782">
        <f>E9+E10+E11+E12+E13</f>
        <v>0</v>
      </c>
      <c r="F8" s="782">
        <f>F13+F9+F10+F11+F12</f>
        <v>1300000</v>
      </c>
      <c r="G8" s="782">
        <f>G13</f>
        <v>0</v>
      </c>
      <c r="H8" s="783">
        <f>H14+H15+H16+H18+H19+H21</f>
        <v>0</v>
      </c>
      <c r="I8" s="780">
        <f>I9+I10+I12+I13+I21+I28+I25+I11</f>
        <v>150000</v>
      </c>
      <c r="J8" s="782">
        <f>J9+J10+J12+J13+J21+J28+J25</f>
        <v>10000</v>
      </c>
      <c r="K8" s="782">
        <f t="shared" ref="K8:S8" si="1">K9+K10+K12+K13+K21+K28</f>
        <v>0</v>
      </c>
      <c r="L8" s="784">
        <f t="shared" si="1"/>
        <v>96921.279999999999</v>
      </c>
      <c r="M8" s="785">
        <f t="shared" si="1"/>
        <v>150000</v>
      </c>
      <c r="N8" s="784">
        <f t="shared" si="1"/>
        <v>0</v>
      </c>
      <c r="O8" s="784">
        <f t="shared" si="1"/>
        <v>0</v>
      </c>
      <c r="P8" s="780">
        <f t="shared" si="1"/>
        <v>150000</v>
      </c>
      <c r="Q8" s="784">
        <f t="shared" si="1"/>
        <v>23714.59</v>
      </c>
      <c r="R8" s="785">
        <f t="shared" si="1"/>
        <v>0</v>
      </c>
      <c r="S8" s="784">
        <f t="shared" si="1"/>
        <v>0</v>
      </c>
      <c r="V8" s="787"/>
    </row>
    <row r="9" spans="1:22">
      <c r="A9" s="27" t="s">
        <v>100</v>
      </c>
      <c r="B9" s="100"/>
      <c r="C9" s="132">
        <f>+CT!D336</f>
        <v>550544.39299999981</v>
      </c>
      <c r="D9" s="100">
        <v>110000</v>
      </c>
      <c r="E9" s="123">
        <f>B57</f>
        <v>0</v>
      </c>
      <c r="F9" s="123">
        <v>1300000</v>
      </c>
      <c r="G9" s="123"/>
      <c r="H9" s="346"/>
      <c r="I9" s="387">
        <v>150000</v>
      </c>
      <c r="J9" s="152">
        <f>B55</f>
        <v>10000</v>
      </c>
      <c r="K9" s="123"/>
      <c r="L9" s="98"/>
      <c r="M9" s="357">
        <f>E61+F61</f>
        <v>150000</v>
      </c>
      <c r="N9" s="98">
        <f>E59</f>
        <v>0</v>
      </c>
      <c r="O9" s="98"/>
      <c r="P9" s="350">
        <f>F60</f>
        <v>150000</v>
      </c>
      <c r="Q9" s="98"/>
      <c r="R9" s="357"/>
      <c r="S9" s="98"/>
      <c r="V9" s="459"/>
    </row>
    <row r="10" spans="1:22">
      <c r="A10" s="27" t="s">
        <v>99</v>
      </c>
      <c r="B10" s="100"/>
      <c r="C10" s="132">
        <v>100000</v>
      </c>
      <c r="D10" s="100"/>
      <c r="E10" s="123"/>
      <c r="F10" s="123"/>
      <c r="G10" s="123"/>
      <c r="H10" s="346"/>
      <c r="I10" s="350"/>
      <c r="J10" s="123"/>
      <c r="K10" s="123"/>
      <c r="L10" s="98"/>
      <c r="M10" s="357"/>
      <c r="N10" s="98"/>
      <c r="O10" s="98"/>
      <c r="P10" s="350"/>
      <c r="Q10" s="98"/>
      <c r="R10" s="357"/>
      <c r="S10" s="98"/>
      <c r="V10" s="459"/>
    </row>
    <row r="11" spans="1:22">
      <c r="A11" s="27" t="s">
        <v>238</v>
      </c>
      <c r="B11" s="100"/>
      <c r="C11" s="132">
        <v>250000</v>
      </c>
      <c r="D11" s="100"/>
      <c r="E11" s="152"/>
      <c r="F11" s="123"/>
      <c r="G11" s="123"/>
      <c r="H11" s="346"/>
      <c r="I11" s="350"/>
      <c r="J11" s="123"/>
      <c r="K11" s="123"/>
      <c r="L11" s="98"/>
      <c r="M11" s="357"/>
      <c r="N11" s="98"/>
      <c r="O11" s="98"/>
      <c r="P11" s="350"/>
      <c r="Q11" s="98"/>
      <c r="R11" s="357"/>
      <c r="S11" s="98"/>
    </row>
    <row r="12" spans="1:22">
      <c r="A12" s="27" t="s">
        <v>98</v>
      </c>
      <c r="B12" s="100"/>
      <c r="C12" s="132">
        <v>450000</v>
      </c>
      <c r="D12" s="100"/>
      <c r="E12" s="123"/>
      <c r="F12" s="123"/>
      <c r="G12" s="123"/>
      <c r="H12" s="346"/>
      <c r="I12" s="350"/>
      <c r="J12" s="367"/>
      <c r="K12" s="123"/>
      <c r="L12" s="98"/>
      <c r="M12" s="357"/>
      <c r="N12" s="98"/>
      <c r="O12" s="98"/>
      <c r="P12" s="350"/>
      <c r="Q12" s="98"/>
      <c r="R12" s="357"/>
      <c r="S12" s="98"/>
    </row>
    <row r="13" spans="1:22" s="31" customFormat="1" ht="14.25">
      <c r="A13" s="8" t="s">
        <v>50</v>
      </c>
      <c r="B13" s="99">
        <v>20000</v>
      </c>
      <c r="C13" s="133">
        <v>250000</v>
      </c>
      <c r="D13" s="91">
        <f>SUM(D14:D19)</f>
        <v>0</v>
      </c>
      <c r="E13" s="124">
        <f>SUM(E14:E28)</f>
        <v>0</v>
      </c>
      <c r="F13" s="124">
        <f>SUM(F14:F28)</f>
        <v>0</v>
      </c>
      <c r="G13" s="124">
        <f>SUM(G14:G21)</f>
        <v>0</v>
      </c>
      <c r="H13" s="347">
        <f>SUM(H14:H21)</f>
        <v>0</v>
      </c>
      <c r="I13" s="91">
        <f>SUM(I14:I28)</f>
        <v>0</v>
      </c>
      <c r="J13" s="124">
        <f>SUM(J14:J28)</f>
        <v>0</v>
      </c>
      <c r="K13" s="124">
        <f>SUM(K14:K28)</f>
        <v>0</v>
      </c>
      <c r="L13" s="90">
        <f t="shared" ref="L13:S13" si="2">SUM(L14:L19)</f>
        <v>96921.279999999999</v>
      </c>
      <c r="M13" s="90">
        <f t="shared" si="2"/>
        <v>0</v>
      </c>
      <c r="N13" s="90">
        <f t="shared" si="2"/>
        <v>0</v>
      </c>
      <c r="O13" s="90">
        <f t="shared" si="2"/>
        <v>0</v>
      </c>
      <c r="P13" s="91">
        <f t="shared" si="2"/>
        <v>0</v>
      </c>
      <c r="Q13" s="90">
        <f>SUM(Q14:Q28)</f>
        <v>23714.59</v>
      </c>
      <c r="R13" s="358">
        <f t="shared" si="2"/>
        <v>0</v>
      </c>
      <c r="S13" s="90">
        <f t="shared" si="2"/>
        <v>0</v>
      </c>
    </row>
    <row r="14" spans="1:22">
      <c r="A14" s="36" t="s">
        <v>52</v>
      </c>
      <c r="B14" s="447"/>
      <c r="C14" s="448"/>
      <c r="D14" s="447"/>
      <c r="E14" s="152"/>
      <c r="F14" s="449"/>
      <c r="G14" s="449"/>
      <c r="H14" s="348">
        <f>F58/2.4</f>
        <v>0</v>
      </c>
      <c r="I14" s="574">
        <f>L58*2.4</f>
        <v>0</v>
      </c>
      <c r="J14" s="152"/>
      <c r="K14" s="449"/>
      <c r="L14" s="365"/>
      <c r="M14" s="450"/>
      <c r="N14" s="388"/>
      <c r="O14" s="388"/>
      <c r="P14" s="387"/>
      <c r="Q14" s="388"/>
      <c r="R14" s="450"/>
      <c r="S14" s="388"/>
    </row>
    <row r="15" spans="1:22" s="469" customFormat="1">
      <c r="A15" s="468" t="s">
        <v>53</v>
      </c>
      <c r="B15" s="447"/>
      <c r="C15" s="448"/>
      <c r="D15" s="447"/>
      <c r="E15" s="152"/>
      <c r="F15" s="152"/>
      <c r="G15" s="152"/>
      <c r="H15" s="470"/>
      <c r="I15" s="387"/>
      <c r="J15" s="152"/>
      <c r="K15" s="152"/>
      <c r="L15" s="388">
        <f>EXPORT!M26+EXPORT!M30</f>
        <v>96921.279999999999</v>
      </c>
      <c r="M15" s="450"/>
      <c r="N15" s="388"/>
      <c r="O15" s="388"/>
      <c r="P15" s="387"/>
      <c r="Q15" s="388"/>
      <c r="R15" s="450"/>
      <c r="S15" s="388"/>
    </row>
    <row r="16" spans="1:22" s="469" customFormat="1">
      <c r="A16" s="468" t="s">
        <v>54</v>
      </c>
      <c r="B16" s="447"/>
      <c r="C16" s="448"/>
      <c r="D16" s="447"/>
      <c r="E16" s="152"/>
      <c r="F16" s="152"/>
      <c r="G16" s="152"/>
      <c r="H16" s="393"/>
      <c r="I16" s="387"/>
      <c r="J16" s="152"/>
      <c r="K16" s="152"/>
      <c r="L16" s="388"/>
      <c r="M16" s="450"/>
      <c r="N16" s="388"/>
      <c r="O16" s="388"/>
      <c r="P16" s="387"/>
      <c r="Q16" s="388"/>
      <c r="R16" s="450"/>
      <c r="S16" s="388"/>
    </row>
    <row r="17" spans="1:19" s="469" customFormat="1">
      <c r="A17" s="468" t="s">
        <v>350</v>
      </c>
      <c r="B17" s="447"/>
      <c r="C17" s="448"/>
      <c r="D17" s="447"/>
      <c r="E17" s="152"/>
      <c r="F17" s="152"/>
      <c r="G17" s="152"/>
      <c r="H17" s="393"/>
      <c r="I17" s="387"/>
      <c r="J17" s="152"/>
      <c r="K17" s="152"/>
      <c r="L17" s="388"/>
      <c r="M17" s="450"/>
      <c r="N17" s="388"/>
      <c r="O17" s="388"/>
      <c r="P17" s="387"/>
      <c r="Q17" s="388">
        <v>23714.59</v>
      </c>
      <c r="R17" s="450"/>
      <c r="S17" s="388"/>
    </row>
    <row r="18" spans="1:19" s="469" customFormat="1">
      <c r="A18" s="468" t="s">
        <v>55</v>
      </c>
      <c r="B18" s="447"/>
      <c r="C18" s="448"/>
      <c r="D18" s="447"/>
      <c r="E18" s="152"/>
      <c r="F18" s="152"/>
      <c r="G18" s="293"/>
      <c r="H18" s="348"/>
      <c r="I18" s="387"/>
      <c r="J18" s="152"/>
      <c r="K18" s="152"/>
      <c r="L18" s="388"/>
      <c r="M18" s="450"/>
      <c r="N18" s="388"/>
      <c r="O18" s="388"/>
      <c r="P18" s="387"/>
      <c r="Q18" s="388"/>
      <c r="R18" s="450"/>
      <c r="S18" s="388"/>
    </row>
    <row r="19" spans="1:19">
      <c r="A19" s="36" t="s">
        <v>56</v>
      </c>
      <c r="B19" s="447"/>
      <c r="C19" s="448"/>
      <c r="D19" s="447"/>
      <c r="E19" s="152"/>
      <c r="F19" s="449"/>
      <c r="G19" s="152"/>
      <c r="H19" s="348"/>
      <c r="I19" s="387"/>
      <c r="J19" s="152"/>
      <c r="K19" s="293"/>
      <c r="L19" s="388"/>
      <c r="M19" s="450"/>
      <c r="N19" s="388"/>
      <c r="O19" s="388"/>
      <c r="P19" s="387"/>
      <c r="Q19" s="388"/>
      <c r="R19" s="450"/>
      <c r="S19" s="388"/>
    </row>
    <row r="20" spans="1:19">
      <c r="A20" s="36" t="s">
        <v>272</v>
      </c>
      <c r="B20" s="447"/>
      <c r="C20" s="448"/>
      <c r="D20" s="447"/>
      <c r="E20" s="152"/>
      <c r="F20" s="152"/>
      <c r="G20" s="392"/>
      <c r="H20" s="348"/>
      <c r="I20" s="387"/>
      <c r="J20" s="152"/>
      <c r="K20" s="293"/>
      <c r="L20" s="388"/>
      <c r="M20" s="450"/>
      <c r="N20" s="388"/>
      <c r="O20" s="388"/>
      <c r="P20" s="387"/>
      <c r="Q20" s="388"/>
      <c r="R20" s="450"/>
      <c r="S20" s="388"/>
    </row>
    <row r="21" spans="1:19">
      <c r="A21" s="27" t="s">
        <v>163</v>
      </c>
      <c r="B21" s="447"/>
      <c r="C21" s="448"/>
      <c r="D21" s="447"/>
      <c r="E21" s="391"/>
      <c r="F21" s="152"/>
      <c r="G21" s="449"/>
      <c r="H21" s="393"/>
      <c r="I21" s="387"/>
      <c r="J21" s="152"/>
      <c r="K21" s="391"/>
      <c r="L21" s="388"/>
      <c r="M21" s="450"/>
      <c r="N21" s="388"/>
      <c r="O21" s="388"/>
      <c r="P21" s="387"/>
      <c r="Q21" s="388"/>
      <c r="R21" s="450"/>
      <c r="S21" s="388"/>
    </row>
    <row r="22" spans="1:19">
      <c r="A22" s="27" t="s">
        <v>89</v>
      </c>
      <c r="B22" s="447"/>
      <c r="C22" s="448"/>
      <c r="D22" s="447"/>
      <c r="E22" s="391"/>
      <c r="F22" s="449"/>
      <c r="G22" s="152"/>
      <c r="H22" s="348"/>
      <c r="I22" s="387"/>
      <c r="J22" s="152"/>
      <c r="K22" s="152"/>
      <c r="L22" s="388"/>
      <c r="M22" s="450"/>
      <c r="N22" s="388"/>
      <c r="O22" s="388"/>
      <c r="P22" s="387"/>
      <c r="Q22" s="388"/>
      <c r="R22" s="450"/>
      <c r="S22" s="388"/>
    </row>
    <row r="23" spans="1:19" s="469" customFormat="1">
      <c r="A23" s="630" t="s">
        <v>310</v>
      </c>
      <c r="B23" s="447"/>
      <c r="C23" s="448"/>
      <c r="D23" s="447"/>
      <c r="E23" s="391"/>
      <c r="F23" s="449"/>
      <c r="G23" s="152"/>
      <c r="H23" s="348"/>
      <c r="I23" s="631"/>
      <c r="J23" s="152"/>
      <c r="K23" s="152"/>
      <c r="L23" s="388"/>
      <c r="M23" s="450"/>
      <c r="N23" s="388"/>
      <c r="O23" s="388"/>
      <c r="P23" s="387"/>
      <c r="Q23" s="388"/>
      <c r="R23" s="450"/>
      <c r="S23" s="388"/>
    </row>
    <row r="24" spans="1:19" s="469" customFormat="1">
      <c r="A24" s="630" t="s">
        <v>351</v>
      </c>
      <c r="B24" s="447"/>
      <c r="C24" s="448"/>
      <c r="D24" s="447"/>
      <c r="E24" s="391"/>
      <c r="F24" s="449"/>
      <c r="G24" s="152"/>
      <c r="H24" s="348"/>
      <c r="I24" s="631"/>
      <c r="J24" s="152"/>
      <c r="K24" s="152"/>
      <c r="L24" s="388"/>
      <c r="M24" s="450"/>
      <c r="N24" s="388"/>
      <c r="O24" s="388"/>
      <c r="P24" s="387"/>
      <c r="Q24" s="388"/>
      <c r="R24" s="450"/>
      <c r="S24" s="388"/>
    </row>
    <row r="25" spans="1:19" s="469" customFormat="1">
      <c r="A25" s="630" t="s">
        <v>126</v>
      </c>
      <c r="B25" s="447"/>
      <c r="C25" s="448"/>
      <c r="D25" s="447"/>
      <c r="E25" s="391"/>
      <c r="F25" s="152"/>
      <c r="G25" s="152"/>
      <c r="H25" s="348"/>
      <c r="I25" s="387"/>
      <c r="J25" s="152"/>
      <c r="K25" s="152"/>
      <c r="L25" s="388"/>
      <c r="M25" s="450"/>
      <c r="N25" s="388"/>
      <c r="O25" s="388"/>
      <c r="P25" s="387"/>
      <c r="Q25" s="388"/>
      <c r="R25" s="450"/>
      <c r="S25" s="388"/>
    </row>
    <row r="26" spans="1:19" s="469" customFormat="1">
      <c r="A26" s="630" t="s">
        <v>275</v>
      </c>
      <c r="B26" s="447"/>
      <c r="C26" s="448"/>
      <c r="D26" s="447"/>
      <c r="E26" s="391"/>
      <c r="F26" s="367"/>
      <c r="G26" s="152"/>
      <c r="H26" s="348"/>
      <c r="I26" s="387"/>
      <c r="J26" s="152"/>
      <c r="K26" s="152"/>
      <c r="L26" s="388"/>
      <c r="M26" s="450"/>
      <c r="N26" s="388"/>
      <c r="O26" s="388"/>
      <c r="P26" s="387"/>
      <c r="Q26" s="388"/>
      <c r="R26" s="450"/>
      <c r="S26" s="388"/>
    </row>
    <row r="27" spans="1:19" s="469" customFormat="1">
      <c r="A27" s="630" t="s">
        <v>263</v>
      </c>
      <c r="B27" s="447"/>
      <c r="C27" s="448"/>
      <c r="D27" s="447"/>
      <c r="E27" s="391"/>
      <c r="F27" s="152"/>
      <c r="G27" s="152"/>
      <c r="H27" s="348"/>
      <c r="I27" s="387"/>
      <c r="J27" s="152"/>
      <c r="K27" s="152"/>
      <c r="L27" s="388"/>
      <c r="M27" s="450"/>
      <c r="N27" s="388"/>
      <c r="O27" s="388"/>
      <c r="P27" s="387"/>
      <c r="Q27" s="388"/>
      <c r="R27" s="450"/>
      <c r="S27" s="388"/>
    </row>
    <row r="28" spans="1:19">
      <c r="A28" s="27" t="s">
        <v>2</v>
      </c>
      <c r="B28" s="100"/>
      <c r="C28" s="132"/>
      <c r="D28" s="100"/>
      <c r="E28" s="391"/>
      <c r="F28" s="123"/>
      <c r="G28" s="123"/>
      <c r="H28" s="346"/>
      <c r="I28" s="350"/>
      <c r="J28" s="123"/>
      <c r="K28" s="123"/>
      <c r="L28" s="98"/>
      <c r="M28" s="357"/>
      <c r="N28" s="98"/>
      <c r="O28" s="98"/>
      <c r="P28" s="350"/>
      <c r="Q28" s="98"/>
      <c r="R28" s="357"/>
      <c r="S28" s="98"/>
    </row>
    <row r="29" spans="1:19">
      <c r="A29" s="97" t="s">
        <v>224</v>
      </c>
      <c r="B29" s="153"/>
      <c r="C29" s="154"/>
      <c r="D29" s="153"/>
      <c r="E29" s="155"/>
      <c r="F29" s="155"/>
      <c r="G29" s="155"/>
      <c r="H29" s="349"/>
      <c r="I29" s="351"/>
      <c r="J29" s="155"/>
      <c r="K29" s="155"/>
      <c r="L29" s="156"/>
      <c r="M29" s="359"/>
      <c r="N29" s="156"/>
      <c r="O29" s="156"/>
      <c r="P29" s="351"/>
      <c r="Q29" s="156"/>
      <c r="R29" s="359"/>
      <c r="S29" s="156"/>
    </row>
    <row r="30" spans="1:19" ht="15.75" thickBot="1">
      <c r="A30" s="97" t="s">
        <v>89</v>
      </c>
      <c r="B30" s="541"/>
      <c r="C30" s="552"/>
      <c r="D30" s="541"/>
      <c r="E30" s="542"/>
      <c r="F30" s="542"/>
      <c r="G30" s="542"/>
      <c r="H30" s="543"/>
      <c r="I30" s="438"/>
      <c r="J30" s="439"/>
      <c r="K30" s="439"/>
      <c r="L30" s="440"/>
      <c r="M30" s="535"/>
      <c r="N30" s="536"/>
      <c r="O30" s="536"/>
      <c r="P30" s="438"/>
      <c r="Q30" s="440"/>
      <c r="R30" s="535"/>
      <c r="S30" s="536"/>
    </row>
    <row r="31" spans="1:19" ht="15.75" thickBot="1">
      <c r="A31" s="37" t="s">
        <v>57</v>
      </c>
      <c r="B31" s="533">
        <f>B32+B47+B65</f>
        <v>10000</v>
      </c>
      <c r="C31" s="534">
        <f>C32+C47+C65</f>
        <v>1845406.084</v>
      </c>
      <c r="D31" s="533">
        <f t="shared" ref="D31:S31" si="3">D32+D47+D65</f>
        <v>112431.095</v>
      </c>
      <c r="E31" s="538">
        <f>E32+E47+E65</f>
        <v>2921.18</v>
      </c>
      <c r="F31" s="538">
        <f>F32+F47+F65</f>
        <v>1077970.094888889</v>
      </c>
      <c r="G31" s="538">
        <f>G32+G47+G65</f>
        <v>269756.34000000003</v>
      </c>
      <c r="H31" s="534">
        <f>H32+H47+H65</f>
        <v>0</v>
      </c>
      <c r="I31" s="540">
        <f t="shared" si="3"/>
        <v>97798.216</v>
      </c>
      <c r="J31" s="441">
        <f t="shared" si="3"/>
        <v>7106.482</v>
      </c>
      <c r="K31" s="441">
        <f t="shared" si="3"/>
        <v>0</v>
      </c>
      <c r="L31" s="442">
        <f t="shared" si="3"/>
        <v>0</v>
      </c>
      <c r="M31" s="539">
        <f t="shared" si="3"/>
        <v>18047.516</v>
      </c>
      <c r="N31" s="539">
        <f t="shared" si="3"/>
        <v>8127.0929999999998</v>
      </c>
      <c r="O31" s="539">
        <f t="shared" si="3"/>
        <v>0</v>
      </c>
      <c r="P31" s="533">
        <f t="shared" si="3"/>
        <v>8439.0139999999992</v>
      </c>
      <c r="Q31" s="534">
        <f t="shared" si="3"/>
        <v>28720</v>
      </c>
      <c r="R31" s="539">
        <f t="shared" si="3"/>
        <v>0</v>
      </c>
      <c r="S31" s="539">
        <f t="shared" si="3"/>
        <v>0</v>
      </c>
    </row>
    <row r="32" spans="1:19" s="31" customFormat="1" ht="14.25">
      <c r="A32" s="38" t="s">
        <v>58</v>
      </c>
      <c r="B32" s="544">
        <f>SUM(B33:B46)</f>
        <v>0</v>
      </c>
      <c r="C32" s="553"/>
      <c r="D32" s="544">
        <f t="shared" ref="D32:S32" si="4">SUM(D33:D46)</f>
        <v>0</v>
      </c>
      <c r="E32" s="545">
        <f t="shared" si="4"/>
        <v>0</v>
      </c>
      <c r="F32" s="545">
        <f t="shared" si="4"/>
        <v>0</v>
      </c>
      <c r="G32" s="545">
        <f t="shared" si="4"/>
        <v>269756.34000000003</v>
      </c>
      <c r="H32" s="546">
        <f>SUM(H33:H46)</f>
        <v>0</v>
      </c>
      <c r="I32" s="443">
        <f t="shared" si="4"/>
        <v>0</v>
      </c>
      <c r="J32" s="444">
        <f t="shared" si="4"/>
        <v>0</v>
      </c>
      <c r="K32" s="444">
        <f t="shared" si="4"/>
        <v>0</v>
      </c>
      <c r="L32" s="445">
        <f t="shared" si="4"/>
        <v>0</v>
      </c>
      <c r="M32" s="537">
        <f t="shared" si="4"/>
        <v>0</v>
      </c>
      <c r="N32" s="532">
        <f t="shared" si="4"/>
        <v>0</v>
      </c>
      <c r="O32" s="532">
        <f t="shared" si="4"/>
        <v>0</v>
      </c>
      <c r="P32" s="443">
        <f t="shared" si="4"/>
        <v>0</v>
      </c>
      <c r="Q32" s="445">
        <f>SUM(Q33:Q46)</f>
        <v>28720</v>
      </c>
      <c r="R32" s="537">
        <f t="shared" si="4"/>
        <v>0</v>
      </c>
      <c r="S32" s="532">
        <f t="shared" si="4"/>
        <v>0</v>
      </c>
    </row>
    <row r="33" spans="1:19" s="1" customFormat="1" ht="12.75">
      <c r="A33" s="39" t="s">
        <v>59</v>
      </c>
      <c r="B33" s="96"/>
      <c r="C33" s="134"/>
      <c r="D33" s="96"/>
      <c r="E33" s="126"/>
      <c r="F33" s="126"/>
      <c r="G33" s="126">
        <f>etranger!C58</f>
        <v>106000</v>
      </c>
      <c r="H33" s="353"/>
      <c r="I33" s="366"/>
      <c r="J33" s="126"/>
      <c r="K33" s="126"/>
      <c r="L33" s="95"/>
      <c r="M33" s="360"/>
      <c r="N33" s="95"/>
      <c r="O33" s="95"/>
      <c r="P33" s="366"/>
      <c r="Q33" s="95"/>
      <c r="R33" s="360"/>
      <c r="S33" s="95"/>
    </row>
    <row r="34" spans="1:19" s="1" customFormat="1" ht="12.75">
      <c r="A34" s="39" t="s">
        <v>348</v>
      </c>
      <c r="B34" s="96"/>
      <c r="C34" s="134"/>
      <c r="D34" s="96"/>
      <c r="E34" s="126"/>
      <c r="F34" s="126"/>
      <c r="G34" s="126"/>
      <c r="H34" s="353">
        <f>+etranger!C49</f>
        <v>0</v>
      </c>
      <c r="I34" s="366"/>
      <c r="J34" s="126"/>
      <c r="K34" s="126"/>
      <c r="L34" s="95"/>
      <c r="M34" s="360"/>
      <c r="N34" s="95"/>
      <c r="O34" s="95"/>
      <c r="P34" s="366"/>
      <c r="Q34" s="95"/>
      <c r="R34" s="360"/>
      <c r="S34" s="95"/>
    </row>
    <row r="35" spans="1:19" s="1" customFormat="1" ht="12.75">
      <c r="A35" s="39" t="s">
        <v>139</v>
      </c>
      <c r="B35" s="96"/>
      <c r="C35" s="134"/>
      <c r="D35" s="96"/>
      <c r="E35" s="126"/>
      <c r="F35" s="126"/>
      <c r="G35" s="126">
        <f>etranger!C46</f>
        <v>0</v>
      </c>
      <c r="H35" s="353"/>
      <c r="I35" s="366"/>
      <c r="J35" s="126"/>
      <c r="K35" s="126"/>
      <c r="L35" s="95"/>
      <c r="M35" s="360"/>
      <c r="N35" s="95"/>
      <c r="O35" s="95"/>
      <c r="P35" s="366"/>
      <c r="Q35" s="95"/>
      <c r="R35" s="360"/>
      <c r="S35" s="95"/>
    </row>
    <row r="36" spans="1:19" s="1" customFormat="1" ht="12.75">
      <c r="A36" s="39" t="s">
        <v>60</v>
      </c>
      <c r="B36" s="96"/>
      <c r="C36" s="134"/>
      <c r="D36" s="96"/>
      <c r="E36" s="126"/>
      <c r="F36" s="126"/>
      <c r="G36" s="126"/>
      <c r="H36" s="353"/>
      <c r="I36" s="366"/>
      <c r="J36" s="126"/>
      <c r="K36" s="126"/>
      <c r="L36" s="95"/>
      <c r="M36" s="360"/>
      <c r="N36" s="95"/>
      <c r="O36" s="95"/>
      <c r="P36" s="366"/>
      <c r="Q36" s="95"/>
      <c r="R36" s="360"/>
      <c r="S36" s="95"/>
    </row>
    <row r="37" spans="1:19" s="1" customFormat="1" ht="12.75">
      <c r="A37" s="39" t="s">
        <v>156</v>
      </c>
      <c r="B37" s="96"/>
      <c r="C37" s="134"/>
      <c r="D37" s="96"/>
      <c r="E37" s="126"/>
      <c r="F37" s="126"/>
      <c r="G37" s="126"/>
      <c r="H37" s="353"/>
      <c r="I37" s="366"/>
      <c r="J37" s="126"/>
      <c r="K37" s="126"/>
      <c r="L37" s="95"/>
      <c r="M37" s="360"/>
      <c r="N37" s="95"/>
      <c r="O37" s="95"/>
      <c r="P37" s="366"/>
      <c r="Q37" s="95"/>
      <c r="R37" s="360"/>
      <c r="S37" s="95"/>
    </row>
    <row r="38" spans="1:19" s="1" customFormat="1" ht="12.75">
      <c r="A38" s="39" t="s">
        <v>172</v>
      </c>
      <c r="B38" s="96"/>
      <c r="C38" s="134"/>
      <c r="D38" s="96"/>
      <c r="E38" s="126"/>
      <c r="F38" s="126"/>
      <c r="G38" s="126"/>
      <c r="H38" s="354"/>
      <c r="I38" s="366"/>
      <c r="J38" s="126"/>
      <c r="K38" s="126"/>
      <c r="L38" s="95"/>
      <c r="M38" s="360"/>
      <c r="N38" s="95"/>
      <c r="O38" s="95"/>
      <c r="P38" s="366"/>
      <c r="Q38" s="95"/>
      <c r="R38" s="360"/>
      <c r="S38" s="95"/>
    </row>
    <row r="39" spans="1:19" s="1" customFormat="1" ht="12.75">
      <c r="A39" s="39" t="s">
        <v>61</v>
      </c>
      <c r="B39" s="96"/>
      <c r="C39" s="134"/>
      <c r="D39" s="96"/>
      <c r="E39" s="126"/>
      <c r="F39" s="126"/>
      <c r="G39" s="126"/>
      <c r="H39" s="353"/>
      <c r="I39" s="366"/>
      <c r="J39" s="126"/>
      <c r="K39" s="126"/>
      <c r="L39" s="95"/>
      <c r="M39" s="360"/>
      <c r="N39" s="95"/>
      <c r="O39" s="95"/>
      <c r="P39" s="366"/>
      <c r="Q39" s="95"/>
      <c r="R39" s="360"/>
      <c r="S39" s="95"/>
    </row>
    <row r="40" spans="1:19" s="1" customFormat="1" ht="12.75">
      <c r="A40" s="39" t="s">
        <v>62</v>
      </c>
      <c r="B40" s="96"/>
      <c r="C40" s="134"/>
      <c r="D40" s="96"/>
      <c r="E40" s="126"/>
      <c r="F40" s="126"/>
      <c r="G40" s="126">
        <f>etranger!C22+etranger!C24+etranger!C25+etranger!C26+etranger!C27+etranger!C28+etranger!C29+etranger!C30+etranger!C31+etranger!C32+etranger!C33+etranger!C34</f>
        <v>157273.01999999999</v>
      </c>
      <c r="H40" s="353"/>
      <c r="I40" s="366"/>
      <c r="J40" s="126"/>
      <c r="K40" s="126"/>
      <c r="L40" s="95"/>
      <c r="M40" s="360"/>
      <c r="N40" s="95"/>
      <c r="O40" s="95"/>
      <c r="P40" s="366"/>
      <c r="Q40" s="95"/>
      <c r="R40" s="360"/>
      <c r="S40" s="95"/>
    </row>
    <row r="41" spans="1:19" s="1" customFormat="1" ht="12.75">
      <c r="A41" s="39" t="s">
        <v>63</v>
      </c>
      <c r="B41" s="96"/>
      <c r="C41" s="134"/>
      <c r="D41" s="96"/>
      <c r="E41" s="126"/>
      <c r="F41" s="126"/>
      <c r="G41" s="126">
        <v>0</v>
      </c>
      <c r="H41" s="353"/>
      <c r="I41" s="366"/>
      <c r="J41" s="126"/>
      <c r="K41" s="126"/>
      <c r="L41" s="95"/>
      <c r="M41" s="360"/>
      <c r="N41" s="95"/>
      <c r="O41" s="95"/>
      <c r="P41" s="366"/>
      <c r="Q41" s="95"/>
      <c r="R41" s="360"/>
      <c r="S41" s="95"/>
    </row>
    <row r="42" spans="1:19" s="6" customFormat="1" ht="15.75">
      <c r="A42" s="633" t="s">
        <v>349</v>
      </c>
      <c r="B42" s="96"/>
      <c r="C42" s="134"/>
      <c r="D42" s="96"/>
      <c r="E42" s="634"/>
      <c r="F42" s="634"/>
      <c r="G42" s="638"/>
      <c r="H42" s="635"/>
      <c r="I42" s="96"/>
      <c r="J42" s="634"/>
      <c r="K42" s="634"/>
      <c r="L42" s="636"/>
      <c r="M42" s="637"/>
      <c r="N42" s="636"/>
      <c r="O42" s="636"/>
      <c r="P42" s="96"/>
      <c r="Q42" s="636">
        <f>+etranger!C80</f>
        <v>28720</v>
      </c>
      <c r="R42" s="637"/>
      <c r="S42" s="636"/>
    </row>
    <row r="43" spans="1:19" s="1" customFormat="1" ht="12.75">
      <c r="A43" s="39" t="s">
        <v>64</v>
      </c>
      <c r="B43" s="96"/>
      <c r="C43" s="134"/>
      <c r="D43" s="96"/>
      <c r="E43" s="126"/>
      <c r="F43" s="126"/>
      <c r="G43" s="126">
        <f>etranger!C42+etranger!C43</f>
        <v>6483.32</v>
      </c>
      <c r="H43" s="353"/>
      <c r="I43" s="366"/>
      <c r="J43" s="126"/>
      <c r="K43" s="126"/>
      <c r="L43" s="95"/>
      <c r="M43" s="360"/>
      <c r="N43" s="95"/>
      <c r="O43" s="95"/>
      <c r="P43" s="366"/>
      <c r="Q43" s="95"/>
      <c r="R43" s="360"/>
      <c r="S43" s="95"/>
    </row>
    <row r="44" spans="1:19" s="1" customFormat="1" ht="12.75">
      <c r="A44" s="39" t="s">
        <v>65</v>
      </c>
      <c r="B44" s="96"/>
      <c r="C44" s="134"/>
      <c r="D44" s="96"/>
      <c r="E44" s="126"/>
      <c r="F44" s="126"/>
      <c r="G44" s="461"/>
      <c r="H44" s="353"/>
      <c r="I44" s="366"/>
      <c r="J44" s="126"/>
      <c r="K44" s="126"/>
      <c r="L44" s="95"/>
      <c r="M44" s="360"/>
      <c r="N44" s="95"/>
      <c r="O44" s="95"/>
      <c r="P44" s="366"/>
      <c r="Q44" s="95"/>
      <c r="R44" s="360"/>
      <c r="S44" s="95"/>
    </row>
    <row r="45" spans="1:19" s="1" customFormat="1" ht="12.75">
      <c r="A45" s="39" t="s">
        <v>245</v>
      </c>
      <c r="B45" s="96"/>
      <c r="C45" s="134"/>
      <c r="D45" s="96"/>
      <c r="E45" s="126"/>
      <c r="F45" s="126"/>
      <c r="G45" s="126"/>
      <c r="H45" s="353"/>
      <c r="I45" s="366"/>
      <c r="J45" s="126"/>
      <c r="K45" s="126"/>
      <c r="L45" s="95"/>
      <c r="M45" s="360"/>
      <c r="N45" s="95"/>
      <c r="O45" s="95"/>
      <c r="P45" s="366"/>
      <c r="Q45" s="95"/>
      <c r="R45" s="360"/>
      <c r="S45" s="95"/>
    </row>
    <row r="46" spans="1:19" s="1" customFormat="1" ht="12.75">
      <c r="A46" s="39" t="s">
        <v>347</v>
      </c>
      <c r="B46" s="96"/>
      <c r="C46" s="134"/>
      <c r="D46" s="96"/>
      <c r="E46" s="126"/>
      <c r="F46" s="126"/>
      <c r="G46" s="126">
        <f>+etranger!C52</f>
        <v>0</v>
      </c>
      <c r="H46" s="353"/>
      <c r="I46" s="366"/>
      <c r="J46" s="126"/>
      <c r="K46" s="287"/>
      <c r="L46" s="95"/>
      <c r="M46" s="360"/>
      <c r="N46" s="95"/>
      <c r="O46" s="95"/>
      <c r="P46" s="366"/>
      <c r="Q46" s="95"/>
      <c r="R46" s="360"/>
      <c r="S46" s="95"/>
    </row>
    <row r="47" spans="1:19" s="31" customFormat="1" ht="14.25">
      <c r="A47" s="94" t="s">
        <v>97</v>
      </c>
      <c r="B47" s="93">
        <f>SUM(B48:B63)</f>
        <v>10000</v>
      </c>
      <c r="C47" s="125">
        <f>SUM(C48:C63)</f>
        <v>1845406.084</v>
      </c>
      <c r="D47" s="93">
        <f>SUM(D48:D62)</f>
        <v>0</v>
      </c>
      <c r="E47" s="125">
        <f>SUM(E48:E64)</f>
        <v>2921.18</v>
      </c>
      <c r="F47" s="125">
        <f>SUM(F48:F63)</f>
        <v>827196.11100000003</v>
      </c>
      <c r="G47" s="125">
        <f>SUM(G48:G64)</f>
        <v>0</v>
      </c>
      <c r="H47" s="352">
        <f>SUM(H48:H62)</f>
        <v>0</v>
      </c>
      <c r="I47" s="93">
        <f>SUM(I48:I62)</f>
        <v>97798.216</v>
      </c>
      <c r="J47" s="125">
        <f>SUM(J48:J63)</f>
        <v>7106.482</v>
      </c>
      <c r="K47" s="125">
        <f>SUM(K48:K62)</f>
        <v>0</v>
      </c>
      <c r="L47" s="92">
        <f>SUM(L48:L62)</f>
        <v>0</v>
      </c>
      <c r="M47" s="292">
        <f>SUM(M48:M62)</f>
        <v>18047.516</v>
      </c>
      <c r="N47" s="92">
        <f t="shared" ref="N47:S47" si="5">SUM(N48:N64)</f>
        <v>8127.0929999999998</v>
      </c>
      <c r="O47" s="92">
        <f t="shared" si="5"/>
        <v>0</v>
      </c>
      <c r="P47" s="93">
        <f t="shared" si="5"/>
        <v>8439.0139999999992</v>
      </c>
      <c r="Q47" s="92">
        <f t="shared" si="5"/>
        <v>0</v>
      </c>
      <c r="R47" s="292">
        <f t="shared" si="5"/>
        <v>0</v>
      </c>
      <c r="S47" s="92">
        <f t="shared" si="5"/>
        <v>0</v>
      </c>
    </row>
    <row r="48" spans="1:19">
      <c r="A48" s="39" t="s">
        <v>96</v>
      </c>
      <c r="B48" s="390"/>
      <c r="C48" s="451">
        <v>20000</v>
      </c>
      <c r="D48" s="390"/>
      <c r="E48" s="151"/>
      <c r="F48" s="151">
        <v>85000</v>
      </c>
      <c r="G48" s="151"/>
      <c r="H48" s="389"/>
      <c r="I48" s="390">
        <v>20000</v>
      </c>
      <c r="J48" s="151"/>
      <c r="K48" s="151"/>
      <c r="L48" s="158"/>
      <c r="M48" s="361">
        <v>2500</v>
      </c>
      <c r="N48" s="158">
        <v>1000</v>
      </c>
      <c r="O48" s="158"/>
      <c r="P48" s="89">
        <v>1000</v>
      </c>
      <c r="Q48" s="88"/>
      <c r="R48" s="362"/>
      <c r="S48" s="88"/>
    </row>
    <row r="49" spans="1:19">
      <c r="A49" s="39" t="s">
        <v>95</v>
      </c>
      <c r="B49" s="390"/>
      <c r="C49" s="451">
        <v>30000</v>
      </c>
      <c r="D49" s="390"/>
      <c r="E49" s="151"/>
      <c r="F49" s="151">
        <v>95000</v>
      </c>
      <c r="G49" s="151"/>
      <c r="H49" s="389"/>
      <c r="I49" s="390">
        <v>21000</v>
      </c>
      <c r="J49" s="151"/>
      <c r="K49" s="151"/>
      <c r="L49" s="158"/>
      <c r="M49" s="361">
        <v>9000</v>
      </c>
      <c r="N49" s="158">
        <v>3600</v>
      </c>
      <c r="O49" s="158"/>
      <c r="P49" s="89">
        <v>4500</v>
      </c>
      <c r="Q49" s="88"/>
      <c r="R49" s="362"/>
      <c r="S49" s="88"/>
    </row>
    <row r="50" spans="1:19">
      <c r="A50" s="39" t="s">
        <v>137</v>
      </c>
      <c r="B50" s="390"/>
      <c r="C50" s="451">
        <f>2273.136+142.303+27990.645</f>
        <v>30406.083999999999</v>
      </c>
      <c r="D50" s="390"/>
      <c r="E50" s="151"/>
      <c r="F50" s="151">
        <f>1416.563+3071.547+87275.607+562.741</f>
        <v>92326.457999999999</v>
      </c>
      <c r="G50" s="151"/>
      <c r="H50" s="389"/>
      <c r="I50" s="390">
        <f>21396.257+401.959</f>
        <v>21798.216</v>
      </c>
      <c r="J50" s="151"/>
      <c r="K50" s="151"/>
      <c r="L50" s="158"/>
      <c r="M50" s="361">
        <f>109.625+4649.655</f>
        <v>4759.28</v>
      </c>
      <c r="N50" s="158">
        <v>3527.0929999999998</v>
      </c>
      <c r="O50" s="158"/>
      <c r="P50" s="89">
        <v>1906.9179999999999</v>
      </c>
      <c r="Q50" s="88"/>
      <c r="R50" s="362"/>
      <c r="S50" s="88"/>
    </row>
    <row r="51" spans="1:19">
      <c r="A51" s="39" t="s">
        <v>94</v>
      </c>
      <c r="B51" s="390"/>
      <c r="C51" s="451"/>
      <c r="D51" s="390"/>
      <c r="E51" s="151"/>
      <c r="F51" s="151">
        <v>100000</v>
      </c>
      <c r="G51" s="151"/>
      <c r="H51" s="389"/>
      <c r="I51" s="390">
        <v>15000</v>
      </c>
      <c r="J51" s="151"/>
      <c r="K51" s="151"/>
      <c r="L51" s="158"/>
      <c r="M51" s="361"/>
      <c r="N51" s="158"/>
      <c r="O51" s="158"/>
      <c r="P51" s="89"/>
      <c r="Q51" s="88"/>
      <c r="R51" s="362"/>
      <c r="S51" s="88"/>
    </row>
    <row r="52" spans="1:19">
      <c r="A52" s="39" t="s">
        <v>93</v>
      </c>
      <c r="B52" s="390"/>
      <c r="C52" s="451"/>
      <c r="D52" s="390"/>
      <c r="E52" s="151">
        <v>2921.18</v>
      </c>
      <c r="F52" s="151">
        <v>4869.6530000000002</v>
      </c>
      <c r="G52" s="151"/>
      <c r="H52" s="389"/>
      <c r="I52" s="390"/>
      <c r="J52" s="151">
        <v>6106.482</v>
      </c>
      <c r="K52" s="151"/>
      <c r="L52" s="158"/>
      <c r="M52" s="361">
        <v>1788.2360000000001</v>
      </c>
      <c r="N52" s="158"/>
      <c r="O52" s="158"/>
      <c r="P52" s="89">
        <v>1032.096</v>
      </c>
      <c r="Q52" s="88"/>
      <c r="R52" s="362"/>
      <c r="S52" s="88"/>
    </row>
    <row r="53" spans="1:19">
      <c r="A53" s="39" t="s">
        <v>223</v>
      </c>
      <c r="B53" s="390"/>
      <c r="C53" s="451"/>
      <c r="D53" s="390"/>
      <c r="E53" s="452"/>
      <c r="F53" s="151"/>
      <c r="G53" s="151"/>
      <c r="H53" s="389"/>
      <c r="I53" s="390"/>
      <c r="J53" s="151"/>
      <c r="K53" s="151"/>
      <c r="L53" s="158"/>
      <c r="M53" s="361"/>
      <c r="N53" s="158"/>
      <c r="O53" s="158"/>
      <c r="P53" s="89"/>
      <c r="Q53" s="88"/>
      <c r="R53" s="362"/>
      <c r="S53" s="88"/>
    </row>
    <row r="54" spans="1:19">
      <c r="A54" s="39" t="s">
        <v>92</v>
      </c>
      <c r="B54" s="390"/>
      <c r="C54" s="451">
        <v>25000</v>
      </c>
      <c r="D54" s="390"/>
      <c r="E54" s="151"/>
      <c r="F54" s="151"/>
      <c r="G54" s="151"/>
      <c r="H54" s="389"/>
      <c r="I54" s="390"/>
      <c r="J54" s="151"/>
      <c r="K54" s="151"/>
      <c r="L54" s="158"/>
      <c r="M54" s="361"/>
      <c r="N54" s="158"/>
      <c r="O54" s="158"/>
      <c r="P54" s="89"/>
      <c r="Q54" s="88"/>
      <c r="R54" s="362"/>
      <c r="S54" s="88"/>
    </row>
    <row r="55" spans="1:19" s="31" customFormat="1">
      <c r="A55" s="39" t="s">
        <v>46</v>
      </c>
      <c r="B55" s="390">
        <v>10000</v>
      </c>
      <c r="C55" s="451">
        <v>100000</v>
      </c>
      <c r="D55" s="390"/>
      <c r="E55" s="286"/>
      <c r="F55" s="151"/>
      <c r="G55" s="151"/>
      <c r="H55" s="389"/>
      <c r="I55" s="390"/>
      <c r="J55" s="151"/>
      <c r="K55" s="151"/>
      <c r="L55" s="158"/>
      <c r="M55" s="361"/>
      <c r="N55" s="158"/>
      <c r="O55" s="158"/>
      <c r="P55" s="89"/>
      <c r="Q55" s="88"/>
      <c r="R55" s="362"/>
      <c r="S55" s="88"/>
    </row>
    <row r="56" spans="1:19" s="31" customFormat="1">
      <c r="A56" s="39" t="s">
        <v>91</v>
      </c>
      <c r="B56" s="390"/>
      <c r="C56" s="451">
        <v>75000</v>
      </c>
      <c r="D56" s="390"/>
      <c r="E56" s="151"/>
      <c r="F56" s="151"/>
      <c r="G56" s="151"/>
      <c r="H56" s="389"/>
      <c r="I56" s="390"/>
      <c r="J56" s="151"/>
      <c r="K56" s="151"/>
      <c r="L56" s="158"/>
      <c r="M56" s="361"/>
      <c r="N56" s="158"/>
      <c r="O56" s="158"/>
      <c r="P56" s="89"/>
      <c r="Q56" s="88"/>
      <c r="R56" s="362"/>
      <c r="S56" s="88"/>
    </row>
    <row r="57" spans="1:19">
      <c r="A57" s="39" t="s">
        <v>45</v>
      </c>
      <c r="B57" s="390">
        <v>0</v>
      </c>
      <c r="C57" s="451">
        <v>1550000</v>
      </c>
      <c r="D57" s="390"/>
      <c r="E57" s="151"/>
      <c r="F57" s="151"/>
      <c r="G57" s="151"/>
      <c r="H57" s="389"/>
      <c r="I57" s="390"/>
      <c r="J57" s="151"/>
      <c r="K57" s="151"/>
      <c r="L57" s="158"/>
      <c r="M57" s="361"/>
      <c r="N57" s="158"/>
      <c r="O57" s="158"/>
      <c r="P57" s="89"/>
      <c r="Q57" s="88"/>
      <c r="R57" s="362"/>
      <c r="S57" s="88"/>
    </row>
    <row r="58" spans="1:19">
      <c r="A58" s="39" t="s">
        <v>138</v>
      </c>
      <c r="B58" s="390"/>
      <c r="C58" s="451"/>
      <c r="D58" s="390"/>
      <c r="E58" s="151"/>
      <c r="F58" s="286"/>
      <c r="G58" s="286"/>
      <c r="H58" s="632"/>
      <c r="I58" s="446"/>
      <c r="J58" s="151"/>
      <c r="K58" s="326"/>
      <c r="L58" s="642"/>
      <c r="M58" s="361"/>
      <c r="N58" s="158"/>
      <c r="O58" s="158"/>
      <c r="P58" s="89"/>
      <c r="Q58" s="88"/>
      <c r="R58" s="362"/>
      <c r="S58" s="88"/>
    </row>
    <row r="59" spans="1:19">
      <c r="A59" s="39" t="s">
        <v>128</v>
      </c>
      <c r="B59" s="390"/>
      <c r="C59" s="451"/>
      <c r="D59" s="390"/>
      <c r="E59" s="151"/>
      <c r="F59" s="151"/>
      <c r="G59" s="151"/>
      <c r="H59" s="389"/>
      <c r="I59" s="390"/>
      <c r="J59" s="151"/>
      <c r="K59" s="151"/>
      <c r="L59" s="158"/>
      <c r="M59" s="361"/>
      <c r="N59" s="158"/>
      <c r="O59" s="158"/>
      <c r="P59" s="89"/>
      <c r="Q59" s="88"/>
      <c r="R59" s="362"/>
      <c r="S59" s="88"/>
    </row>
    <row r="60" spans="1:19">
      <c r="A60" s="39" t="s">
        <v>244</v>
      </c>
      <c r="B60" s="390"/>
      <c r="C60" s="451"/>
      <c r="D60" s="390"/>
      <c r="E60" s="151"/>
      <c r="F60" s="286">
        <v>150000</v>
      </c>
      <c r="G60" s="151"/>
      <c r="H60" s="389"/>
      <c r="I60" s="390"/>
      <c r="J60" s="151"/>
      <c r="K60" s="151"/>
      <c r="L60" s="158"/>
      <c r="M60" s="361"/>
      <c r="N60" s="158"/>
      <c r="O60" s="158"/>
      <c r="P60" s="89"/>
      <c r="Q60" s="88"/>
      <c r="R60" s="362"/>
      <c r="S60" s="88"/>
    </row>
    <row r="61" spans="1:19">
      <c r="A61" s="39" t="s">
        <v>121</v>
      </c>
      <c r="B61" s="390"/>
      <c r="C61" s="451"/>
      <c r="D61" s="390"/>
      <c r="E61" s="452"/>
      <c r="F61" s="286">
        <v>150000</v>
      </c>
      <c r="G61" s="151"/>
      <c r="H61" s="389"/>
      <c r="I61" s="390"/>
      <c r="J61" s="151"/>
      <c r="K61" s="151"/>
      <c r="L61" s="158"/>
      <c r="M61" s="361"/>
      <c r="N61" s="158"/>
      <c r="O61" s="158"/>
      <c r="P61" s="89"/>
      <c r="Q61" s="88"/>
      <c r="R61" s="362"/>
      <c r="S61" s="88"/>
    </row>
    <row r="62" spans="1:19">
      <c r="A62" s="39" t="s">
        <v>90</v>
      </c>
      <c r="B62" s="390"/>
      <c r="C62" s="451">
        <v>15000</v>
      </c>
      <c r="D62" s="390"/>
      <c r="E62" s="151"/>
      <c r="F62" s="151">
        <v>150000</v>
      </c>
      <c r="G62" s="151"/>
      <c r="H62" s="389"/>
      <c r="I62" s="390">
        <v>20000</v>
      </c>
      <c r="J62" s="151">
        <v>1000</v>
      </c>
      <c r="K62" s="151"/>
      <c r="L62" s="158"/>
      <c r="M62" s="361"/>
      <c r="N62" s="158"/>
      <c r="O62" s="158"/>
      <c r="P62" s="89"/>
      <c r="Q62" s="88"/>
      <c r="R62" s="362"/>
      <c r="S62" s="88"/>
    </row>
    <row r="63" spans="1:19">
      <c r="A63" s="39" t="s">
        <v>129</v>
      </c>
      <c r="B63" s="89"/>
      <c r="C63" s="135"/>
      <c r="D63" s="89"/>
      <c r="E63" s="127"/>
      <c r="F63" s="665"/>
      <c r="G63" s="665"/>
      <c r="H63" s="355"/>
      <c r="I63" s="89"/>
      <c r="J63" s="127"/>
      <c r="K63" s="127"/>
      <c r="L63" s="88"/>
      <c r="M63" s="362"/>
      <c r="N63" s="788"/>
      <c r="O63" s="88"/>
      <c r="P63" s="89"/>
      <c r="Q63" s="88"/>
      <c r="R63" s="362"/>
      <c r="S63" s="88"/>
    </row>
    <row r="64" spans="1:19">
      <c r="A64" s="39" t="s">
        <v>126</v>
      </c>
      <c r="B64" s="89"/>
      <c r="C64" s="135"/>
      <c r="D64" s="89"/>
      <c r="E64" s="127"/>
      <c r="F64" s="127"/>
      <c r="G64" s="127"/>
      <c r="H64" s="355"/>
      <c r="I64" s="89"/>
      <c r="J64" s="127"/>
      <c r="K64" s="127"/>
      <c r="L64" s="88"/>
      <c r="M64" s="362"/>
      <c r="N64" s="88"/>
      <c r="O64" s="88"/>
      <c r="P64" s="89"/>
      <c r="Q64" s="88"/>
      <c r="R64" s="362"/>
      <c r="S64" s="88"/>
    </row>
    <row r="65" spans="1:19" s="31" customFormat="1" ht="14.25">
      <c r="A65" s="40" t="s">
        <v>66</v>
      </c>
      <c r="B65" s="91">
        <f>SUM(B66:B68)</f>
        <v>0</v>
      </c>
      <c r="C65" s="124">
        <f>SUM(C66:C68)</f>
        <v>0</v>
      </c>
      <c r="D65" s="91">
        <f t="shared" ref="D65:S65" si="6">SUM(D66:D68)</f>
        <v>112431.095</v>
      </c>
      <c r="E65" s="124">
        <f t="shared" si="6"/>
        <v>0</v>
      </c>
      <c r="F65" s="124">
        <f t="shared" si="6"/>
        <v>250773.98388888891</v>
      </c>
      <c r="G65" s="124">
        <f t="shared" si="6"/>
        <v>0</v>
      </c>
      <c r="H65" s="347">
        <f t="shared" si="6"/>
        <v>0</v>
      </c>
      <c r="I65" s="91">
        <f t="shared" si="6"/>
        <v>0</v>
      </c>
      <c r="J65" s="124">
        <f t="shared" si="6"/>
        <v>0</v>
      </c>
      <c r="K65" s="124">
        <f t="shared" si="6"/>
        <v>0</v>
      </c>
      <c r="L65" s="90">
        <f t="shared" si="6"/>
        <v>0</v>
      </c>
      <c r="M65" s="358">
        <f t="shared" si="6"/>
        <v>0</v>
      </c>
      <c r="N65" s="90">
        <f t="shared" si="6"/>
        <v>0</v>
      </c>
      <c r="O65" s="90">
        <f t="shared" si="6"/>
        <v>0</v>
      </c>
      <c r="P65" s="91">
        <f t="shared" si="6"/>
        <v>0</v>
      </c>
      <c r="Q65" s="90"/>
      <c r="R65" s="358">
        <f t="shared" si="6"/>
        <v>0</v>
      </c>
      <c r="S65" s="90">
        <f t="shared" si="6"/>
        <v>0</v>
      </c>
    </row>
    <row r="66" spans="1:19">
      <c r="A66" s="39" t="s">
        <v>89</v>
      </c>
      <c r="B66" s="89"/>
      <c r="C66" s="135"/>
      <c r="D66" s="89">
        <f>+CMT!G31</f>
        <v>112431.095</v>
      </c>
      <c r="E66" s="127"/>
      <c r="F66" s="127">
        <f>+CMT!G32+CMT!G33</f>
        <v>250773.98388888891</v>
      </c>
      <c r="G66" s="127"/>
      <c r="H66" s="355"/>
      <c r="I66" s="89"/>
      <c r="J66" s="127"/>
      <c r="K66" s="127"/>
      <c r="L66" s="88"/>
      <c r="M66" s="362"/>
      <c r="N66" s="88"/>
      <c r="O66" s="88"/>
      <c r="P66" s="89"/>
      <c r="Q66" s="88"/>
      <c r="R66" s="362"/>
      <c r="S66" s="88"/>
    </row>
    <row r="67" spans="1:19">
      <c r="A67" s="39" t="s">
        <v>341</v>
      </c>
      <c r="B67" s="89"/>
      <c r="C67" s="135"/>
      <c r="D67" s="89"/>
      <c r="E67" s="127"/>
      <c r="F67" s="127"/>
      <c r="G67" s="127"/>
      <c r="H67" s="355"/>
      <c r="I67" s="89"/>
      <c r="J67" s="127"/>
      <c r="K67" s="127"/>
      <c r="L67" s="88"/>
      <c r="M67" s="362"/>
      <c r="N67" s="88"/>
      <c r="O67" s="88"/>
      <c r="P67" s="89"/>
      <c r="Q67" s="88"/>
      <c r="R67" s="362"/>
      <c r="S67" s="88"/>
    </row>
    <row r="68" spans="1:19">
      <c r="A68" s="39" t="s">
        <v>221</v>
      </c>
      <c r="B68" s="89"/>
      <c r="C68" s="135"/>
      <c r="D68" s="89"/>
      <c r="E68" s="127"/>
      <c r="F68" s="127"/>
      <c r="G68" s="127">
        <f>+FED!C10</f>
        <v>0</v>
      </c>
      <c r="H68" s="355"/>
      <c r="I68" s="89"/>
      <c r="J68" s="127"/>
      <c r="K68" s="127"/>
      <c r="L68" s="88">
        <f>FED!C7*1.19</f>
        <v>0</v>
      </c>
      <c r="M68" s="362"/>
      <c r="N68" s="88"/>
      <c r="O68" s="88"/>
      <c r="P68" s="89"/>
      <c r="Q68" s="88"/>
      <c r="R68" s="362"/>
      <c r="S68" s="88"/>
    </row>
    <row r="69" spans="1:19" s="34" customFormat="1">
      <c r="A69" s="41" t="s">
        <v>1319</v>
      </c>
      <c r="B69" s="128">
        <f t="shared" ref="B69:Q69" si="7">B3+B4+B8-B31</f>
        <v>22436.513999999999</v>
      </c>
      <c r="C69" s="130">
        <f t="shared" si="7"/>
        <v>-193848.04900000035</v>
      </c>
      <c r="D69" s="128">
        <f t="shared" si="7"/>
        <v>1200.0709999999963</v>
      </c>
      <c r="E69" s="130">
        <f>E3+E4+E8-E31</f>
        <v>12046.159</v>
      </c>
      <c r="F69" s="130">
        <f t="shared" si="7"/>
        <v>-2945180.672888889</v>
      </c>
      <c r="G69" s="130">
        <f t="shared" si="7"/>
        <v>-259191.86000000002</v>
      </c>
      <c r="H69" s="344">
        <f t="shared" si="7"/>
        <v>146.86000000000001</v>
      </c>
      <c r="I69" s="128">
        <f t="shared" si="7"/>
        <v>-476186.37400000007</v>
      </c>
      <c r="J69" s="130">
        <f t="shared" si="7"/>
        <v>7702.7430000000004</v>
      </c>
      <c r="K69" s="130">
        <f t="shared" si="7"/>
        <v>126.5</v>
      </c>
      <c r="L69" s="129">
        <f t="shared" si="7"/>
        <v>98241.43</v>
      </c>
      <c r="M69" s="363">
        <f t="shared" si="7"/>
        <v>1333.4369999999944</v>
      </c>
      <c r="N69" s="129">
        <f t="shared" si="7"/>
        <v>1720.3609999999999</v>
      </c>
      <c r="O69" s="129">
        <f t="shared" si="7"/>
        <v>22812.252</v>
      </c>
      <c r="P69" s="128">
        <f t="shared" si="7"/>
        <v>6144.4489999999896</v>
      </c>
      <c r="Q69" s="129">
        <f t="shared" si="7"/>
        <v>27503.32</v>
      </c>
      <c r="R69" s="363">
        <f>R3+R4+R8-R31</f>
        <v>3311.54</v>
      </c>
      <c r="S69" s="129">
        <f>S3+S4+S8-S31</f>
        <v>1784.24</v>
      </c>
    </row>
    <row r="70" spans="1:19" s="34" customFormat="1" ht="15.75" thickBot="1">
      <c r="A70" s="42" t="s">
        <v>67</v>
      </c>
      <c r="B70" s="87">
        <v>0</v>
      </c>
      <c r="C70" s="131">
        <v>-200000</v>
      </c>
      <c r="D70" s="87">
        <v>0</v>
      </c>
      <c r="E70" s="131">
        <v>0</v>
      </c>
      <c r="F70" s="131">
        <v>-2000000</v>
      </c>
      <c r="G70" s="131">
        <v>0</v>
      </c>
      <c r="H70" s="356">
        <v>0</v>
      </c>
      <c r="I70" s="87">
        <v>-420000</v>
      </c>
      <c r="J70" s="131">
        <v>0</v>
      </c>
      <c r="K70" s="131">
        <v>0</v>
      </c>
      <c r="L70" s="86">
        <v>0</v>
      </c>
      <c r="M70" s="364">
        <v>0</v>
      </c>
      <c r="N70" s="86">
        <v>0</v>
      </c>
      <c r="O70" s="86">
        <v>0</v>
      </c>
      <c r="P70" s="87">
        <v>0</v>
      </c>
      <c r="Q70" s="86">
        <v>0</v>
      </c>
      <c r="R70" s="364">
        <v>0</v>
      </c>
      <c r="S70" s="86">
        <v>0</v>
      </c>
    </row>
    <row r="71" spans="1:19">
      <c r="A71" s="1"/>
    </row>
    <row r="72" spans="1:19" s="274" customFormat="1" ht="15.75">
      <c r="B72" s="275"/>
      <c r="C72" s="275">
        <f>C70-C69</f>
        <v>-6151.9509999996517</v>
      </c>
      <c r="D72" s="275"/>
      <c r="E72" s="275"/>
      <c r="F72" s="275">
        <f>F70-F69</f>
        <v>945180.67288888898</v>
      </c>
      <c r="G72" s="275"/>
      <c r="H72" s="275"/>
      <c r="I72" s="275">
        <f>I70-I69</f>
        <v>56186.374000000069</v>
      </c>
      <c r="J72" s="275"/>
      <c r="K72" s="275"/>
      <c r="L72" s="275"/>
    </row>
    <row r="73" spans="1:19" s="274" customFormat="1" ht="15.75">
      <c r="B73" s="275"/>
      <c r="C73" s="275"/>
      <c r="D73" s="275"/>
      <c r="E73" s="275"/>
      <c r="F73" s="275"/>
      <c r="G73" s="275"/>
      <c r="H73" s="275"/>
      <c r="I73" s="275"/>
      <c r="J73" s="275"/>
      <c r="K73" s="275"/>
      <c r="L73" s="275"/>
    </row>
    <row r="74" spans="1:19" s="277" customFormat="1" ht="15.75">
      <c r="A74" s="4"/>
      <c r="B74" s="275"/>
      <c r="C74" s="278"/>
      <c r="D74" s="278"/>
      <c r="E74" s="278"/>
      <c r="F74" s="278"/>
      <c r="G74" s="276"/>
      <c r="H74" s="276"/>
      <c r="I74" s="276"/>
      <c r="J74" s="276"/>
      <c r="K74" s="276"/>
      <c r="L74" s="276"/>
    </row>
    <row r="75" spans="1:19">
      <c r="A75" s="1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57" orientation="landscape" horizontalDpi="180" verticalDpi="180" r:id="rId1"/>
  <ignoredErrors>
    <ignoredError sqref="E47:F47 D8 J47 G47 Q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84"/>
  <sheetViews>
    <sheetView topLeftCell="A10" zoomScale="90" zoomScaleNormal="90" workbookViewId="0">
      <selection activeCell="C59" sqref="C59"/>
    </sheetView>
  </sheetViews>
  <sheetFormatPr baseColWidth="10" defaultRowHeight="12.75"/>
  <cols>
    <col min="1" max="1" width="17" style="44" bestFit="1" customWidth="1"/>
    <col min="2" max="2" width="10.28515625" style="44" bestFit="1" customWidth="1"/>
    <col min="3" max="3" width="13" style="44" bestFit="1" customWidth="1"/>
    <col min="4" max="4" width="12" style="297" bestFit="1" customWidth="1"/>
    <col min="5" max="5" width="15.42578125" style="44" bestFit="1" customWidth="1"/>
    <col min="6" max="6" width="11.42578125" style="44" bestFit="1" customWidth="1"/>
    <col min="7" max="7" width="6.140625" style="44" bestFit="1" customWidth="1"/>
    <col min="8" max="12" width="11.42578125" style="44"/>
    <col min="13" max="13" width="11" style="44" bestFit="1" customWidth="1"/>
    <col min="14" max="16384" width="11.42578125" style="44"/>
  </cols>
  <sheetData>
    <row r="1" spans="1:7">
      <c r="A1" s="43">
        <f ca="1">TODAY()</f>
        <v>43297</v>
      </c>
    </row>
    <row r="2" spans="1:7">
      <c r="A2" s="44" t="s">
        <v>68</v>
      </c>
      <c r="C2" s="43">
        <v>43100</v>
      </c>
      <c r="D2" s="297">
        <v>2.9478</v>
      </c>
    </row>
    <row r="3" spans="1:7">
      <c r="A3" s="44" t="s">
        <v>69</v>
      </c>
      <c r="C3" s="43">
        <v>43100</v>
      </c>
      <c r="D3" s="297">
        <v>2.4839000000000002</v>
      </c>
    </row>
    <row r="4" spans="1:7">
      <c r="A4" s="44" t="s">
        <v>70</v>
      </c>
      <c r="C4" s="43">
        <v>43100</v>
      </c>
      <c r="D4" s="297">
        <v>3.3113000000000001</v>
      </c>
    </row>
    <row r="5" spans="1:7" ht="13.5" thickBot="1">
      <c r="A5" s="44" t="s">
        <v>226</v>
      </c>
      <c r="C5" s="43">
        <v>43100</v>
      </c>
      <c r="D5" s="297">
        <v>0.38400000000000001</v>
      </c>
    </row>
    <row r="6" spans="1:7" ht="13.5" thickBot="1">
      <c r="A6" s="958" t="s">
        <v>71</v>
      </c>
      <c r="B6" s="959"/>
      <c r="C6" s="959"/>
      <c r="D6" s="959"/>
      <c r="E6" s="959"/>
      <c r="F6" s="960"/>
    </row>
    <row r="7" spans="1:7" ht="13.5" thickBot="1">
      <c r="A7" s="696" t="s">
        <v>72</v>
      </c>
      <c r="B7" s="697" t="s">
        <v>73</v>
      </c>
      <c r="C7" s="697" t="s">
        <v>74</v>
      </c>
      <c r="D7" s="298" t="s">
        <v>75</v>
      </c>
      <c r="E7" s="697" t="s">
        <v>76</v>
      </c>
      <c r="F7" s="698" t="s">
        <v>13</v>
      </c>
    </row>
    <row r="8" spans="1:7" ht="13.5" thickBot="1">
      <c r="A8" s="518"/>
      <c r="B8" s="519"/>
      <c r="C8" s="701"/>
      <c r="D8" s="521"/>
      <c r="E8" s="522"/>
      <c r="F8" s="523"/>
    </row>
    <row r="9" spans="1:7" ht="13.5" thickBot="1">
      <c r="A9" s="947" t="s">
        <v>77</v>
      </c>
      <c r="B9" s="948"/>
      <c r="C9" s="325">
        <f>SUM(C8:C8)</f>
        <v>0</v>
      </c>
    </row>
    <row r="10" spans="1:7" s="295" customFormat="1" ht="13.5" thickBot="1">
      <c r="A10" s="304"/>
      <c r="B10" s="304"/>
      <c r="C10" s="305"/>
      <c r="D10" s="306"/>
    </row>
    <row r="11" spans="1:7" ht="13.5" thickBot="1">
      <c r="A11" s="518"/>
      <c r="B11" s="519"/>
      <c r="C11" s="520"/>
      <c r="D11" s="521"/>
      <c r="E11" s="522"/>
      <c r="F11" s="523"/>
      <c r="G11" s="307"/>
    </row>
    <row r="12" spans="1:7" ht="13.5" thickBot="1">
      <c r="A12" s="958" t="s">
        <v>77</v>
      </c>
      <c r="B12" s="959"/>
      <c r="C12" s="159">
        <f>SUM(C11:C11)</f>
        <v>0</v>
      </c>
      <c r="D12" s="300"/>
      <c r="E12" s="45"/>
      <c r="F12" s="45"/>
    </row>
    <row r="13" spans="1:7" ht="13.5" thickBot="1"/>
    <row r="14" spans="1:7" ht="13.5" thickBot="1">
      <c r="A14" s="518"/>
      <c r="B14" s="519"/>
      <c r="C14" s="520"/>
      <c r="D14" s="521"/>
      <c r="E14" s="522"/>
      <c r="F14" s="523"/>
      <c r="G14" s="307"/>
    </row>
    <row r="15" spans="1:7" ht="13.5" thickBot="1">
      <c r="A15" s="958" t="s">
        <v>77</v>
      </c>
      <c r="B15" s="959"/>
      <c r="C15" s="159">
        <f>SUM(C14:C14)</f>
        <v>0</v>
      </c>
      <c r="D15" s="300"/>
      <c r="E15" s="45"/>
      <c r="F15" s="45"/>
    </row>
    <row r="16" spans="1:7" ht="13.5" thickBot="1"/>
    <row r="17" spans="1:14" ht="13.5" thickBot="1">
      <c r="A17" s="518"/>
      <c r="B17" s="519"/>
      <c r="C17" s="520"/>
      <c r="D17" s="521"/>
      <c r="E17" s="522"/>
      <c r="F17" s="523"/>
    </row>
    <row r="18" spans="1:14" ht="13.5" thickBot="1">
      <c r="A18" s="958" t="s">
        <v>77</v>
      </c>
      <c r="B18" s="959"/>
      <c r="C18" s="159">
        <f>SUM(C17:C17)</f>
        <v>0</v>
      </c>
      <c r="D18" s="300"/>
      <c r="E18" s="45"/>
      <c r="F18" s="45"/>
    </row>
    <row r="19" spans="1:14" ht="13.5" thickBot="1"/>
    <row r="20" spans="1:14" ht="13.5" thickBot="1">
      <c r="A20" s="958" t="s">
        <v>78</v>
      </c>
      <c r="B20" s="959"/>
      <c r="C20" s="959"/>
      <c r="D20" s="959"/>
      <c r="E20" s="959"/>
      <c r="F20" s="960"/>
    </row>
    <row r="21" spans="1:14" ht="13.5" thickBot="1">
      <c r="A21" s="696" t="s">
        <v>72</v>
      </c>
      <c r="B21" s="697" t="s">
        <v>73</v>
      </c>
      <c r="C21" s="697" t="s">
        <v>74</v>
      </c>
      <c r="D21" s="298" t="s">
        <v>75</v>
      </c>
      <c r="E21" s="697" t="s">
        <v>76</v>
      </c>
      <c r="F21" s="698" t="s">
        <v>13</v>
      </c>
    </row>
    <row r="22" spans="1:14">
      <c r="A22" s="569" t="s">
        <v>304</v>
      </c>
      <c r="B22" s="702" t="s">
        <v>16</v>
      </c>
      <c r="C22" s="703">
        <v>14461.49</v>
      </c>
      <c r="D22" s="570">
        <f t="shared" ref="D22:D31" si="0">+C22*$D$2</f>
        <v>42629.580221999997</v>
      </c>
      <c r="E22" s="704">
        <v>43145</v>
      </c>
      <c r="F22" s="705">
        <f t="shared" ref="F22:F35" si="1">E22+60</f>
        <v>43205</v>
      </c>
      <c r="G22" s="295"/>
      <c r="M22" s="790"/>
    </row>
    <row r="23" spans="1:14">
      <c r="A23" s="1079" t="s">
        <v>305</v>
      </c>
      <c r="B23" s="1080" t="s">
        <v>16</v>
      </c>
      <c r="C23" s="1081">
        <v>9120.35</v>
      </c>
      <c r="D23" s="1082">
        <f t="shared" si="0"/>
        <v>26884.96773</v>
      </c>
      <c r="E23" s="1083">
        <v>43145</v>
      </c>
      <c r="F23" s="1084">
        <f t="shared" si="1"/>
        <v>43205</v>
      </c>
      <c r="G23" s="295"/>
    </row>
    <row r="24" spans="1:14">
      <c r="A24" s="569" t="s">
        <v>306</v>
      </c>
      <c r="B24" s="702" t="s">
        <v>16</v>
      </c>
      <c r="C24" s="703">
        <v>15456.47</v>
      </c>
      <c r="D24" s="570">
        <f t="shared" si="0"/>
        <v>45562.582265999998</v>
      </c>
      <c r="E24" s="704">
        <v>43145</v>
      </c>
      <c r="F24" s="705">
        <f t="shared" si="1"/>
        <v>43205</v>
      </c>
      <c r="G24" s="295"/>
    </row>
    <row r="25" spans="1:14">
      <c r="A25" s="569" t="s">
        <v>307</v>
      </c>
      <c r="B25" s="702" t="s">
        <v>16</v>
      </c>
      <c r="C25" s="703">
        <v>8522.69</v>
      </c>
      <c r="D25" s="570">
        <f t="shared" si="0"/>
        <v>25123.185582000002</v>
      </c>
      <c r="E25" s="704">
        <v>43146</v>
      </c>
      <c r="F25" s="705">
        <f t="shared" si="1"/>
        <v>43206</v>
      </c>
      <c r="G25" s="295"/>
      <c r="K25" s="288"/>
    </row>
    <row r="26" spans="1:14">
      <c r="A26" s="569" t="s">
        <v>309</v>
      </c>
      <c r="B26" s="702" t="s">
        <v>16</v>
      </c>
      <c r="C26" s="703">
        <v>16677.439999999999</v>
      </c>
      <c r="D26" s="570">
        <f t="shared" si="0"/>
        <v>49161.757631999993</v>
      </c>
      <c r="E26" s="704">
        <v>43147</v>
      </c>
      <c r="F26" s="705">
        <f t="shared" si="1"/>
        <v>43207</v>
      </c>
      <c r="G26" s="295"/>
      <c r="K26" s="288"/>
    </row>
    <row r="27" spans="1:14">
      <c r="A27" s="569" t="s">
        <v>321</v>
      </c>
      <c r="B27" s="702" t="s">
        <v>16</v>
      </c>
      <c r="C27" s="703">
        <v>15738.84</v>
      </c>
      <c r="D27" s="570">
        <f t="shared" si="0"/>
        <v>46394.952552000002</v>
      </c>
      <c r="E27" s="704">
        <v>43172</v>
      </c>
      <c r="F27" s="705">
        <f t="shared" si="1"/>
        <v>43232</v>
      </c>
      <c r="G27" s="295"/>
      <c r="K27" s="288"/>
    </row>
    <row r="28" spans="1:14">
      <c r="A28" s="569" t="s">
        <v>322</v>
      </c>
      <c r="B28" s="702" t="s">
        <v>16</v>
      </c>
      <c r="C28" s="703">
        <v>14035.78</v>
      </c>
      <c r="D28" s="570">
        <f t="shared" si="0"/>
        <v>41374.672284</v>
      </c>
      <c r="E28" s="704">
        <v>43172</v>
      </c>
      <c r="F28" s="705">
        <f t="shared" si="1"/>
        <v>43232</v>
      </c>
      <c r="G28" s="295"/>
    </row>
    <row r="29" spans="1:14">
      <c r="A29" s="569" t="s">
        <v>323</v>
      </c>
      <c r="B29" s="702" t="s">
        <v>16</v>
      </c>
      <c r="C29" s="703">
        <v>11086.67</v>
      </c>
      <c r="D29" s="570">
        <f t="shared" si="0"/>
        <v>32681.285825999999</v>
      </c>
      <c r="E29" s="704">
        <v>43173</v>
      </c>
      <c r="F29" s="705">
        <f t="shared" si="1"/>
        <v>43233</v>
      </c>
      <c r="G29" s="295"/>
    </row>
    <row r="30" spans="1:14">
      <c r="A30" s="569" t="s">
        <v>324</v>
      </c>
      <c r="B30" s="702" t="s">
        <v>16</v>
      </c>
      <c r="C30" s="703">
        <v>8746.25</v>
      </c>
      <c r="D30" s="570">
        <f t="shared" si="0"/>
        <v>25782.195749999999</v>
      </c>
      <c r="E30" s="704">
        <v>43175</v>
      </c>
      <c r="F30" s="705">
        <f t="shared" si="1"/>
        <v>43235</v>
      </c>
      <c r="G30" s="295"/>
    </row>
    <row r="31" spans="1:14">
      <c r="A31" s="569" t="s">
        <v>325</v>
      </c>
      <c r="B31" s="702" t="s">
        <v>16</v>
      </c>
      <c r="C31" s="703">
        <v>14020.07</v>
      </c>
      <c r="D31" s="570">
        <f t="shared" si="0"/>
        <v>41328.362346000002</v>
      </c>
      <c r="E31" s="704">
        <v>43189</v>
      </c>
      <c r="F31" s="705">
        <f t="shared" si="1"/>
        <v>43249</v>
      </c>
      <c r="G31" s="295"/>
      <c r="I31" s="70"/>
      <c r="J31" s="70"/>
      <c r="K31" s="70"/>
      <c r="L31" s="70"/>
      <c r="M31" s="70"/>
      <c r="N31" s="70"/>
    </row>
    <row r="32" spans="1:14">
      <c r="A32" s="569" t="s">
        <v>335</v>
      </c>
      <c r="B32" s="702" t="s">
        <v>16</v>
      </c>
      <c r="C32" s="703">
        <v>9711.74</v>
      </c>
      <c r="D32" s="570">
        <f>+C32*$D$2</f>
        <v>28628.267172</v>
      </c>
      <c r="E32" s="704">
        <v>43203</v>
      </c>
      <c r="F32" s="705">
        <f t="shared" si="1"/>
        <v>43263</v>
      </c>
      <c r="G32" s="295"/>
      <c r="I32" s="70"/>
      <c r="J32" s="70"/>
      <c r="K32" s="70"/>
      <c r="L32" s="70"/>
      <c r="M32" s="70"/>
      <c r="N32" s="70"/>
    </row>
    <row r="33" spans="1:14">
      <c r="A33" s="569" t="s">
        <v>336</v>
      </c>
      <c r="B33" s="702" t="s">
        <v>16</v>
      </c>
      <c r="C33" s="703">
        <v>15058.56</v>
      </c>
      <c r="D33" s="570">
        <f>+C33*$D$2</f>
        <v>44389.623167999998</v>
      </c>
      <c r="E33" s="704">
        <v>43208</v>
      </c>
      <c r="F33" s="705">
        <f t="shared" si="1"/>
        <v>43268</v>
      </c>
      <c r="G33" s="295"/>
    </row>
    <row r="34" spans="1:14">
      <c r="A34" s="569" t="s">
        <v>337</v>
      </c>
      <c r="B34" s="702" t="s">
        <v>16</v>
      </c>
      <c r="C34" s="703">
        <v>13757.02</v>
      </c>
      <c r="D34" s="570">
        <f>+C34*$D$2</f>
        <v>40552.943555999998</v>
      </c>
      <c r="E34" s="704">
        <v>43210</v>
      </c>
      <c r="F34" s="705">
        <f t="shared" si="1"/>
        <v>43270</v>
      </c>
      <c r="G34" s="295"/>
    </row>
    <row r="35" spans="1:14">
      <c r="A35" s="316" t="s">
        <v>345</v>
      </c>
      <c r="B35" s="378" t="s">
        <v>16</v>
      </c>
      <c r="C35" s="379">
        <v>39770.04</v>
      </c>
      <c r="D35" s="317">
        <f>+C35*$D$2</f>
        <v>117234.123912</v>
      </c>
      <c r="E35" s="377">
        <v>43251</v>
      </c>
      <c r="F35" s="706">
        <f t="shared" si="1"/>
        <v>43311</v>
      </c>
      <c r="G35" s="295"/>
      <c r="I35" s="70"/>
      <c r="J35" s="70"/>
      <c r="K35" s="70"/>
      <c r="L35" s="70"/>
      <c r="M35" s="70"/>
      <c r="N35" s="70"/>
    </row>
    <row r="36" spans="1:14" ht="13.5" thickBot="1">
      <c r="A36" s="194"/>
      <c r="B36" s="283"/>
      <c r="C36" s="195"/>
      <c r="D36" s="301"/>
      <c r="E36" s="617"/>
      <c r="F36" s="618"/>
      <c r="L36" s="789"/>
    </row>
    <row r="37" spans="1:14" ht="13.5" thickBot="1">
      <c r="A37" s="958" t="s">
        <v>77</v>
      </c>
      <c r="B37" s="959"/>
      <c r="C37" s="159">
        <f>SUM(C22:C36)</f>
        <v>206163.40999999997</v>
      </c>
      <c r="D37" s="300"/>
      <c r="E37" s="45"/>
      <c r="F37" s="45"/>
    </row>
    <row r="38" spans="1:14" s="295" customFormat="1" ht="13.5" thickBot="1">
      <c r="A38" s="304"/>
      <c r="B38" s="304"/>
      <c r="C38" s="305"/>
      <c r="D38" s="302"/>
      <c r="E38" s="303"/>
      <c r="F38" s="303"/>
    </row>
    <row r="39" spans="1:14" s="70" customFormat="1" ht="13.5" thickBot="1">
      <c r="A39" s="559" t="s">
        <v>270</v>
      </c>
      <c r="B39" s="560" t="s">
        <v>16</v>
      </c>
      <c r="C39" s="561">
        <v>47355.28</v>
      </c>
      <c r="D39" s="562">
        <f>+C39*D2</f>
        <v>139593.89438399998</v>
      </c>
      <c r="E39" s="563">
        <v>43250</v>
      </c>
      <c r="F39" s="939">
        <f>+E39+90</f>
        <v>43340</v>
      </c>
      <c r="I39" s="44"/>
      <c r="J39" s="44"/>
      <c r="K39" s="44"/>
      <c r="L39" s="44"/>
      <c r="M39" s="44"/>
      <c r="N39" s="44"/>
    </row>
    <row r="40" spans="1:14" ht="13.5" thickBot="1">
      <c r="A40" s="958" t="s">
        <v>77</v>
      </c>
      <c r="B40" s="959"/>
      <c r="C40" s="159">
        <f>SUM(C39:C39)</f>
        <v>47355.28</v>
      </c>
      <c r="D40" s="300"/>
      <c r="E40" s="45"/>
      <c r="F40" s="45"/>
    </row>
    <row r="41" spans="1:14" s="295" customFormat="1" ht="13.5" thickBot="1">
      <c r="A41" s="304"/>
      <c r="B41" s="304"/>
      <c r="C41" s="305"/>
      <c r="D41" s="302"/>
      <c r="E41" s="303"/>
      <c r="F41" s="303"/>
    </row>
    <row r="42" spans="1:14" s="70" customFormat="1">
      <c r="A42" s="1085" t="s">
        <v>346</v>
      </c>
      <c r="B42" s="1086" t="s">
        <v>16</v>
      </c>
      <c r="C42" s="1087">
        <v>1903.32</v>
      </c>
      <c r="D42" s="1088">
        <f>+C42*D2</f>
        <v>5610.6066959999998</v>
      </c>
      <c r="E42" s="1089">
        <v>43249</v>
      </c>
      <c r="F42" s="1090">
        <f>+E42+30</f>
        <v>43279</v>
      </c>
      <c r="I42" s="44"/>
      <c r="J42" s="44"/>
      <c r="K42" s="44"/>
      <c r="L42" s="44"/>
      <c r="M42" s="44"/>
      <c r="N42" s="44"/>
    </row>
    <row r="43" spans="1:14" s="70" customFormat="1" ht="13.5" thickBot="1">
      <c r="A43" s="1091" t="s">
        <v>346</v>
      </c>
      <c r="B43" s="1092" t="s">
        <v>16</v>
      </c>
      <c r="C43" s="1093">
        <v>4580</v>
      </c>
      <c r="D43" s="1094">
        <f>+C43*D2</f>
        <v>13500.923999999999</v>
      </c>
      <c r="E43" s="1095">
        <v>43237</v>
      </c>
      <c r="F43" s="1096">
        <f>+E43+30</f>
        <v>43267</v>
      </c>
      <c r="I43" s="44"/>
      <c r="J43" s="44"/>
      <c r="K43" s="44"/>
      <c r="L43" s="44"/>
      <c r="M43" s="44"/>
      <c r="N43" s="44"/>
    </row>
    <row r="44" spans="1:14" ht="13.5" thickBot="1">
      <c r="A44" s="958" t="s">
        <v>77</v>
      </c>
      <c r="B44" s="959"/>
      <c r="C44" s="159">
        <f>SUM(C42)</f>
        <v>1903.32</v>
      </c>
      <c r="D44" s="300"/>
      <c r="E44" s="45"/>
      <c r="F44" s="45"/>
    </row>
    <row r="45" spans="1:14" s="295" customFormat="1" ht="13.5" thickBot="1">
      <c r="A45" s="304"/>
      <c r="B45" s="304"/>
      <c r="C45" s="305"/>
      <c r="D45" s="302"/>
      <c r="E45" s="303"/>
      <c r="F45" s="303"/>
    </row>
    <row r="46" spans="1:14" ht="13.5" thickBot="1">
      <c r="A46" s="852"/>
      <c r="B46" s="853"/>
      <c r="C46" s="854"/>
      <c r="D46" s="855"/>
      <c r="E46" s="856"/>
      <c r="F46" s="857"/>
    </row>
    <row r="47" spans="1:14" ht="13.5" thickBot="1">
      <c r="A47" s="958" t="s">
        <v>77</v>
      </c>
      <c r="B47" s="959"/>
      <c r="C47" s="159">
        <f>SUM(C46:C46)</f>
        <v>0</v>
      </c>
      <c r="D47" s="300"/>
      <c r="E47" s="45"/>
      <c r="F47" s="45"/>
      <c r="L47" s="790"/>
    </row>
    <row r="48" spans="1:14" s="295" customFormat="1" ht="13.5" thickBot="1">
      <c r="A48" s="836"/>
      <c r="B48" s="836"/>
      <c r="C48" s="837"/>
      <c r="D48" s="302"/>
      <c r="E48" s="303"/>
      <c r="F48" s="303"/>
      <c r="L48" s="838"/>
    </row>
    <row r="49" spans="1:12" ht="13.5" thickBot="1">
      <c r="A49" s="852"/>
      <c r="B49" s="853"/>
      <c r="C49" s="854"/>
      <c r="D49" s="855"/>
      <c r="E49" s="856"/>
      <c r="F49" s="857"/>
    </row>
    <row r="50" spans="1:12" ht="13.5" thickBot="1">
      <c r="A50" s="958" t="s">
        <v>77</v>
      </c>
      <c r="B50" s="959"/>
      <c r="C50" s="159">
        <f>SUM(C49:C49)</f>
        <v>0</v>
      </c>
      <c r="D50" s="300"/>
      <c r="E50" s="45"/>
      <c r="F50" s="45"/>
      <c r="L50" s="790"/>
    </row>
    <row r="51" spans="1:12" s="295" customFormat="1" ht="13.5" thickBot="1">
      <c r="A51" s="836"/>
      <c r="B51" s="836"/>
      <c r="C51" s="837"/>
      <c r="D51" s="302"/>
      <c r="E51" s="303"/>
      <c r="F51" s="303"/>
      <c r="L51" s="838"/>
    </row>
    <row r="52" spans="1:12" ht="13.5" thickBot="1">
      <c r="A52" s="839"/>
      <c r="B52" s="840"/>
      <c r="C52" s="844"/>
      <c r="D52" s="841"/>
      <c r="E52" s="842"/>
      <c r="F52" s="843"/>
    </row>
    <row r="53" spans="1:12" ht="13.5" thickBot="1">
      <c r="A53" s="958" t="s">
        <v>77</v>
      </c>
      <c r="B53" s="959"/>
      <c r="C53" s="159">
        <f>SUM(C52:C52)</f>
        <v>0</v>
      </c>
      <c r="D53" s="300"/>
      <c r="E53" s="45"/>
      <c r="F53" s="45"/>
    </row>
    <row r="54" spans="1:12" s="295" customFormat="1" ht="13.5" thickBot="1">
      <c r="A54" s="304"/>
      <c r="B54" s="304"/>
      <c r="C54" s="305"/>
      <c r="D54" s="302"/>
      <c r="E54" s="303"/>
      <c r="F54" s="303"/>
    </row>
    <row r="55" spans="1:12" ht="13.5" thickBot="1">
      <c r="A55" s="518"/>
      <c r="B55" s="519"/>
      <c r="C55" s="520"/>
      <c r="D55" s="520"/>
      <c r="E55" s="519"/>
      <c r="F55" s="858"/>
    </row>
    <row r="56" spans="1:12" ht="13.5" thickBot="1">
      <c r="A56" s="947" t="s">
        <v>77</v>
      </c>
      <c r="B56" s="948"/>
      <c r="C56" s="325">
        <f>SUM(C55:C55)</f>
        <v>0</v>
      </c>
    </row>
    <row r="57" spans="1:12" s="295" customFormat="1" ht="13.5" thickBot="1">
      <c r="D57" s="306"/>
    </row>
    <row r="58" spans="1:12" ht="13.5" thickBot="1">
      <c r="A58" s="518" t="s">
        <v>1325</v>
      </c>
      <c r="B58" s="519" t="s">
        <v>16</v>
      </c>
      <c r="C58" s="520">
        <v>106000</v>
      </c>
      <c r="D58" s="520"/>
      <c r="E58" s="519"/>
      <c r="F58" s="858"/>
    </row>
    <row r="59" spans="1:12" ht="13.5" thickBot="1">
      <c r="A59" s="947" t="s">
        <v>77</v>
      </c>
      <c r="B59" s="948"/>
      <c r="C59" s="325">
        <f>SUM(C58:C58)</f>
        <v>106000</v>
      </c>
    </row>
    <row r="60" spans="1:12" s="295" customFormat="1" ht="13.5" thickBot="1">
      <c r="D60" s="306"/>
    </row>
    <row r="61" spans="1:12">
      <c r="A61" s="368" t="s">
        <v>225</v>
      </c>
      <c r="B61" s="51" t="s">
        <v>227</v>
      </c>
      <c r="C61" s="369">
        <v>9851000</v>
      </c>
      <c r="D61" s="370">
        <f>+C61*D5</f>
        <v>3782784</v>
      </c>
      <c r="E61" s="402">
        <v>0.9</v>
      </c>
      <c r="F61" s="404">
        <v>43054</v>
      </c>
    </row>
    <row r="62" spans="1:12">
      <c r="A62" s="290"/>
      <c r="B62" s="309"/>
      <c r="C62" s="310"/>
      <c r="D62" s="299"/>
      <c r="E62" s="403">
        <v>0.1</v>
      </c>
      <c r="F62" s="405">
        <v>43221</v>
      </c>
    </row>
    <row r="63" spans="1:12" ht="13.5" thickBot="1">
      <c r="A63" s="194"/>
      <c r="B63" s="283"/>
      <c r="C63" s="195"/>
      <c r="D63" s="301"/>
      <c r="E63" s="283"/>
      <c r="F63" s="296"/>
    </row>
    <row r="64" spans="1:12" ht="13.5" thickBot="1">
      <c r="A64" s="947" t="s">
        <v>77</v>
      </c>
      <c r="B64" s="948"/>
      <c r="C64" s="325">
        <f>SUM(C61:C63)</f>
        <v>9851000</v>
      </c>
      <c r="I64" s="288"/>
    </row>
    <row r="65" spans="1:10" s="295" customFormat="1" ht="13.5" thickBot="1">
      <c r="D65" s="306"/>
    </row>
    <row r="66" spans="1:10">
      <c r="A66" s="949" t="s">
        <v>207</v>
      </c>
      <c r="B66" s="952" t="s">
        <v>16</v>
      </c>
      <c r="C66" s="955">
        <v>335000</v>
      </c>
      <c r="D66" s="370"/>
      <c r="E66" s="616">
        <v>42898</v>
      </c>
      <c r="F66" s="385">
        <v>71000</v>
      </c>
      <c r="J66" s="288"/>
    </row>
    <row r="67" spans="1:10">
      <c r="A67" s="950"/>
      <c r="B67" s="953"/>
      <c r="C67" s="956"/>
      <c r="D67" s="299"/>
      <c r="E67" s="777">
        <v>42927</v>
      </c>
      <c r="F67" s="386">
        <v>40000</v>
      </c>
    </row>
    <row r="68" spans="1:10">
      <c r="A68" s="950"/>
      <c r="B68" s="953"/>
      <c r="C68" s="956"/>
      <c r="D68" s="299"/>
      <c r="E68" s="777">
        <v>43004</v>
      </c>
      <c r="F68" s="386">
        <v>15000</v>
      </c>
    </row>
    <row r="69" spans="1:10">
      <c r="A69" s="950"/>
      <c r="B69" s="953"/>
      <c r="C69" s="956"/>
      <c r="D69" s="299"/>
      <c r="E69" s="777">
        <v>43006</v>
      </c>
      <c r="F69" s="386">
        <v>16000</v>
      </c>
    </row>
    <row r="70" spans="1:10">
      <c r="A70" s="950"/>
      <c r="B70" s="953"/>
      <c r="C70" s="956"/>
      <c r="D70" s="299"/>
      <c r="E70" s="777">
        <v>43020</v>
      </c>
      <c r="F70" s="386">
        <v>25000</v>
      </c>
    </row>
    <row r="71" spans="1:10">
      <c r="A71" s="951"/>
      <c r="B71" s="954"/>
      <c r="C71" s="957"/>
      <c r="D71" s="299"/>
      <c r="E71" s="777">
        <v>43208</v>
      </c>
      <c r="F71" s="386">
        <v>45000</v>
      </c>
    </row>
    <row r="72" spans="1:10">
      <c r="A72" s="290" t="s">
        <v>207</v>
      </c>
      <c r="B72" s="309" t="s">
        <v>16</v>
      </c>
      <c r="C72" s="310">
        <f>65000+9000</f>
        <v>74000</v>
      </c>
      <c r="D72" s="299"/>
      <c r="E72" s="777">
        <v>43189</v>
      </c>
      <c r="F72" s="386">
        <v>59500</v>
      </c>
      <c r="J72" s="288"/>
    </row>
    <row r="73" spans="1:10">
      <c r="A73" s="290"/>
      <c r="B73" s="309"/>
      <c r="C73" s="310"/>
      <c r="D73" s="299"/>
      <c r="E73" s="777"/>
      <c r="F73" s="386"/>
    </row>
    <row r="74" spans="1:10" ht="13.5" thickBot="1">
      <c r="A74" s="194" t="s">
        <v>207</v>
      </c>
      <c r="B74" s="283" t="s">
        <v>16</v>
      </c>
      <c r="C74" s="195">
        <f>14477.06+837.73</f>
        <v>15314.789999999999</v>
      </c>
      <c r="D74" s="301"/>
      <c r="E74" s="617"/>
      <c r="F74" s="296"/>
      <c r="H74" s="288"/>
    </row>
    <row r="75" spans="1:10" ht="13.5" thickBot="1">
      <c r="A75" s="947" t="s">
        <v>77</v>
      </c>
      <c r="B75" s="948"/>
      <c r="C75" s="325">
        <f>SUM(C66:C74)</f>
        <v>424314.79</v>
      </c>
      <c r="H75" s="288"/>
    </row>
    <row r="76" spans="1:10" ht="13.5" thickBot="1">
      <c r="F76" s="288"/>
    </row>
    <row r="77" spans="1:10" ht="13.5" thickBot="1">
      <c r="A77" s="559" t="s">
        <v>340</v>
      </c>
      <c r="B77" s="560" t="s">
        <v>16</v>
      </c>
      <c r="C77" s="561">
        <v>67500</v>
      </c>
      <c r="D77" s="562"/>
      <c r="E77" s="563">
        <v>43074</v>
      </c>
      <c r="F77" s="778">
        <v>12000</v>
      </c>
    </row>
    <row r="78" spans="1:10" ht="13.5" thickBot="1">
      <c r="A78" s="947" t="s">
        <v>77</v>
      </c>
      <c r="B78" s="948"/>
      <c r="C78" s="325">
        <f>SUM(C77:C77)</f>
        <v>67500</v>
      </c>
    </row>
    <row r="79" spans="1:10" ht="13.5" thickBot="1"/>
    <row r="80" spans="1:10" ht="13.5" thickBot="1">
      <c r="A80" s="559" t="s">
        <v>349</v>
      </c>
      <c r="B80" s="560" t="s">
        <v>16</v>
      </c>
      <c r="C80" s="561">
        <v>28720</v>
      </c>
      <c r="D80" s="562">
        <f>+C80*D2</f>
        <v>84660.816000000006</v>
      </c>
      <c r="E80" s="563"/>
      <c r="F80" s="778"/>
    </row>
    <row r="81" spans="1:6" ht="13.5" thickBot="1">
      <c r="A81" s="947" t="s">
        <v>77</v>
      </c>
      <c r="B81" s="948"/>
      <c r="C81" s="325">
        <f>SUM(C80:C80)</f>
        <v>28720</v>
      </c>
    </row>
    <row r="82" spans="1:6" ht="13.5" thickBot="1"/>
    <row r="83" spans="1:6" ht="13.5" thickBot="1">
      <c r="A83" s="559"/>
      <c r="B83" s="560"/>
      <c r="C83" s="561"/>
      <c r="D83" s="562"/>
      <c r="E83" s="563"/>
      <c r="F83" s="778"/>
    </row>
    <row r="84" spans="1:6" ht="13.5" thickBot="1">
      <c r="A84" s="947" t="s">
        <v>77</v>
      </c>
      <c r="B84" s="948"/>
      <c r="C84" s="325">
        <f>SUM(C83:C83)</f>
        <v>0</v>
      </c>
    </row>
  </sheetData>
  <mergeCells count="22">
    <mergeCell ref="C66:C71"/>
    <mergeCell ref="A6:F6"/>
    <mergeCell ref="A20:F20"/>
    <mergeCell ref="A37:B37"/>
    <mergeCell ref="A9:B9"/>
    <mergeCell ref="A59:B59"/>
    <mergeCell ref="A40:B40"/>
    <mergeCell ref="A53:B53"/>
    <mergeCell ref="A12:B12"/>
    <mergeCell ref="A15:B15"/>
    <mergeCell ref="A44:B44"/>
    <mergeCell ref="A47:B47"/>
    <mergeCell ref="A50:B50"/>
    <mergeCell ref="A18:B18"/>
    <mergeCell ref="A84:B84"/>
    <mergeCell ref="A56:B56"/>
    <mergeCell ref="A75:B75"/>
    <mergeCell ref="A64:B64"/>
    <mergeCell ref="A66:A71"/>
    <mergeCell ref="A81:B81"/>
    <mergeCell ref="A78:B78"/>
    <mergeCell ref="B66:B7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51"/>
  <sheetViews>
    <sheetView zoomScale="85" zoomScaleNormal="85" workbookViewId="0">
      <selection activeCell="P34" sqref="P34"/>
    </sheetView>
  </sheetViews>
  <sheetFormatPr baseColWidth="10" defaultColWidth="11.42578125" defaultRowHeight="12.75"/>
  <cols>
    <col min="1" max="1" width="11.42578125" style="708"/>
    <col min="2" max="3" width="11.140625" style="708" customWidth="1"/>
    <col min="4" max="6" width="11.140625" style="733" customWidth="1"/>
    <col min="7" max="9" width="11.140625" style="707" customWidth="1"/>
    <col min="10" max="10" width="14" style="708" bestFit="1" customWidth="1"/>
    <col min="11" max="11" width="11.85546875" style="708" bestFit="1" customWidth="1"/>
    <col min="12" max="12" width="3.85546875" style="708" bestFit="1" customWidth="1"/>
    <col min="13" max="13" width="13.28515625" style="708" bestFit="1" customWidth="1"/>
    <col min="14" max="14" width="9" style="708" bestFit="1" customWidth="1"/>
    <col min="15" max="16384" width="11.42578125" style="708"/>
  </cols>
  <sheetData>
    <row r="1" spans="2:13">
      <c r="B1" s="964" t="s">
        <v>112</v>
      </c>
      <c r="C1" s="964"/>
      <c r="D1" s="964"/>
      <c r="E1" s="964"/>
      <c r="F1" s="964"/>
    </row>
    <row r="2" spans="2:13">
      <c r="B2" s="964" t="s">
        <v>294</v>
      </c>
      <c r="C2" s="964"/>
      <c r="D2" s="964"/>
      <c r="E2" s="964"/>
      <c r="F2" s="964"/>
    </row>
    <row r="3" spans="2:13" ht="13.5" thickBot="1">
      <c r="B3" s="709"/>
      <c r="C3" s="709"/>
      <c r="D3" s="710"/>
      <c r="E3" s="710"/>
      <c r="F3" s="710"/>
    </row>
    <row r="4" spans="2:13" s="715" customFormat="1" ht="13.5" thickBot="1">
      <c r="B4" s="970" t="s">
        <v>110</v>
      </c>
      <c r="C4" s="971"/>
      <c r="D4" s="711" t="s">
        <v>10</v>
      </c>
      <c r="E4" s="712" t="s">
        <v>109</v>
      </c>
      <c r="F4" s="712" t="s">
        <v>108</v>
      </c>
      <c r="G4" s="712" t="s">
        <v>107</v>
      </c>
      <c r="H4" s="713" t="s">
        <v>106</v>
      </c>
      <c r="I4" s="714" t="s">
        <v>105</v>
      </c>
    </row>
    <row r="5" spans="2:13" ht="13.5" thickBot="1">
      <c r="B5" s="716" t="s">
        <v>102</v>
      </c>
      <c r="C5" s="717">
        <v>400000</v>
      </c>
      <c r="D5" s="718">
        <v>43131</v>
      </c>
      <c r="E5" s="719">
        <v>41341.207000000002</v>
      </c>
      <c r="F5" s="720">
        <v>1928.6020000000001</v>
      </c>
      <c r="G5" s="721">
        <f>SUM(E5:F5)</f>
        <v>43269.809000000001</v>
      </c>
      <c r="H5" s="722"/>
      <c r="I5" s="723"/>
    </row>
    <row r="6" spans="2:13" ht="14.25" thickBot="1">
      <c r="B6" s="961" t="s">
        <v>170</v>
      </c>
      <c r="C6" s="962"/>
      <c r="D6" s="963"/>
      <c r="E6" s="724">
        <f>SUM(E5:E5)</f>
        <v>41341.207000000002</v>
      </c>
      <c r="F6" s="724">
        <f>SUM(F5:F5)</f>
        <v>1928.6020000000001</v>
      </c>
      <c r="G6" s="724">
        <f>SUM(G5:G5)</f>
        <v>43269.809000000001</v>
      </c>
      <c r="H6" s="725"/>
      <c r="I6" s="726"/>
    </row>
    <row r="7" spans="2:13" s="715" customFormat="1" ht="13.5" thickBot="1">
      <c r="B7" s="727"/>
      <c r="C7" s="728"/>
      <c r="D7" s="729"/>
      <c r="E7" s="729"/>
      <c r="F7" s="729"/>
      <c r="G7" s="727"/>
      <c r="H7" s="727"/>
      <c r="I7" s="727"/>
    </row>
    <row r="8" spans="2:13" ht="14.25" thickBot="1">
      <c r="B8" s="967" t="s">
        <v>168</v>
      </c>
      <c r="C8" s="968"/>
      <c r="D8" s="969"/>
      <c r="E8" s="730">
        <f>E6</f>
        <v>41341.207000000002</v>
      </c>
      <c r="F8" s="730">
        <f>F6</f>
        <v>1928.6020000000001</v>
      </c>
      <c r="G8" s="730">
        <f>G6</f>
        <v>43269.809000000001</v>
      </c>
      <c r="H8" s="731"/>
      <c r="I8" s="732"/>
    </row>
    <row r="9" spans="2:13">
      <c r="G9" s="708"/>
      <c r="H9" s="708"/>
      <c r="I9" s="708"/>
      <c r="M9" s="734"/>
    </row>
    <row r="10" spans="2:13" s="734" customFormat="1">
      <c r="B10" s="964" t="s">
        <v>111</v>
      </c>
      <c r="C10" s="964"/>
      <c r="D10" s="964"/>
      <c r="E10" s="964"/>
      <c r="F10" s="964"/>
      <c r="G10" s="707"/>
      <c r="H10" s="707"/>
      <c r="I10" s="707"/>
    </row>
    <row r="11" spans="2:13" s="734" customFormat="1">
      <c r="B11" s="964" t="s">
        <v>294</v>
      </c>
      <c r="C11" s="964"/>
      <c r="D11" s="964"/>
      <c r="E11" s="964"/>
      <c r="F11" s="964"/>
      <c r="G11" s="707"/>
      <c r="H11" s="707"/>
      <c r="I11" s="707"/>
      <c r="K11" s="708"/>
      <c r="L11" s="708"/>
      <c r="M11" s="708"/>
    </row>
    <row r="12" spans="2:13" ht="13.5" thickBot="1"/>
    <row r="13" spans="2:13" s="734" customFormat="1" ht="13.5" thickBot="1">
      <c r="B13" s="970" t="s">
        <v>110</v>
      </c>
      <c r="C13" s="971"/>
      <c r="D13" s="711" t="s">
        <v>10</v>
      </c>
      <c r="E13" s="712" t="s">
        <v>109</v>
      </c>
      <c r="F13" s="712" t="s">
        <v>108</v>
      </c>
      <c r="G13" s="712" t="s">
        <v>107</v>
      </c>
      <c r="H13" s="713" t="s">
        <v>106</v>
      </c>
      <c r="I13" s="714" t="s">
        <v>105</v>
      </c>
      <c r="K13" s="708"/>
      <c r="L13" s="708"/>
      <c r="M13" s="708"/>
    </row>
    <row r="14" spans="2:13" s="734" customFormat="1">
      <c r="B14" s="735" t="s">
        <v>122</v>
      </c>
      <c r="C14" s="736">
        <v>1488000</v>
      </c>
      <c r="D14" s="737">
        <v>43126</v>
      </c>
      <c r="E14" s="738">
        <v>106285.71400000001</v>
      </c>
      <c r="F14" s="738">
        <v>9370.857</v>
      </c>
      <c r="G14" s="736">
        <f t="shared" ref="G14:G23" si="0">SUM(E14:F14)</f>
        <v>115656.57100000001</v>
      </c>
      <c r="H14" s="739"/>
      <c r="I14" s="740"/>
      <c r="K14" s="708"/>
      <c r="L14" s="708"/>
      <c r="M14" s="708"/>
    </row>
    <row r="15" spans="2:13" s="734" customFormat="1" ht="13.5" thickBot="1">
      <c r="B15" s="716" t="s">
        <v>101</v>
      </c>
      <c r="C15" s="721">
        <v>2418000</v>
      </c>
      <c r="D15" s="741">
        <v>43126</v>
      </c>
      <c r="E15" s="742">
        <v>172714.28599999999</v>
      </c>
      <c r="F15" s="742">
        <v>14565.571</v>
      </c>
      <c r="G15" s="721">
        <f t="shared" si="0"/>
        <v>187279.85699999999</v>
      </c>
      <c r="H15" s="743"/>
      <c r="I15" s="744"/>
      <c r="K15" s="708"/>
      <c r="L15" s="708"/>
      <c r="M15" s="708"/>
    </row>
    <row r="16" spans="2:13" ht="14.25" thickBot="1">
      <c r="B16" s="961" t="s">
        <v>296</v>
      </c>
      <c r="C16" s="962"/>
      <c r="D16" s="963"/>
      <c r="E16" s="745">
        <f>SUM(E14:E15)</f>
        <v>279000</v>
      </c>
      <c r="F16" s="746">
        <f>SUM(F14:F15)</f>
        <v>23936.428</v>
      </c>
      <c r="G16" s="747">
        <f t="shared" si="0"/>
        <v>302936.42800000001</v>
      </c>
      <c r="H16" s="748"/>
      <c r="I16" s="726"/>
    </row>
    <row r="17" spans="2:14">
      <c r="B17" s="735" t="s">
        <v>101</v>
      </c>
      <c r="C17" s="914">
        <v>500000</v>
      </c>
      <c r="D17" s="915">
        <v>43190</v>
      </c>
      <c r="E17" s="738">
        <v>41666.667000000001</v>
      </c>
      <c r="F17" s="738">
        <v>7631.25</v>
      </c>
      <c r="G17" s="736">
        <f t="shared" si="0"/>
        <v>49297.917000000001</v>
      </c>
      <c r="H17" s="916"/>
      <c r="I17" s="740"/>
      <c r="J17" s="754"/>
      <c r="K17" s="284"/>
      <c r="L17" s="755"/>
      <c r="M17" s="3"/>
      <c r="N17" s="3"/>
    </row>
    <row r="18" spans="2:14" s="734" customFormat="1">
      <c r="B18" s="594" t="s">
        <v>101</v>
      </c>
      <c r="C18" s="859">
        <v>1150000</v>
      </c>
      <c r="D18" s="860">
        <v>43190</v>
      </c>
      <c r="E18" s="861">
        <v>95833.333333333299</v>
      </c>
      <c r="F18" s="861">
        <v>17103.854166666701</v>
      </c>
      <c r="G18" s="862">
        <f t="shared" si="0"/>
        <v>112937.1875</v>
      </c>
      <c r="H18" s="863"/>
      <c r="I18" s="607"/>
      <c r="J18" s="754"/>
      <c r="K18" s="761"/>
      <c r="L18" s="762"/>
      <c r="M18" s="763"/>
      <c r="N18" s="3"/>
    </row>
    <row r="19" spans="2:14" s="734" customFormat="1">
      <c r="B19" s="594" t="s">
        <v>101</v>
      </c>
      <c r="C19" s="859">
        <v>1000000</v>
      </c>
      <c r="D19" s="860">
        <v>43190</v>
      </c>
      <c r="E19" s="861">
        <v>83333.333333333299</v>
      </c>
      <c r="F19" s="861">
        <v>14827.083333333299</v>
      </c>
      <c r="G19" s="862">
        <f t="shared" si="0"/>
        <v>98160.416666666599</v>
      </c>
      <c r="H19" s="863"/>
      <c r="I19" s="607"/>
      <c r="J19" s="754"/>
      <c r="K19" s="284"/>
      <c r="L19" s="755"/>
      <c r="M19" s="3"/>
      <c r="N19" s="3"/>
    </row>
    <row r="20" spans="2:14" s="734" customFormat="1">
      <c r="B20" s="917" t="s">
        <v>101</v>
      </c>
      <c r="C20" s="918">
        <v>1000000</v>
      </c>
      <c r="D20" s="919">
        <v>43190</v>
      </c>
      <c r="E20" s="920">
        <v>0</v>
      </c>
      <c r="F20" s="920">
        <v>1251.7860000000001</v>
      </c>
      <c r="G20" s="921">
        <f t="shared" si="0"/>
        <v>1251.7860000000001</v>
      </c>
      <c r="H20" s="922"/>
      <c r="I20" s="923"/>
      <c r="J20" s="754"/>
      <c r="K20" s="708"/>
      <c r="L20" s="708"/>
      <c r="M20" s="708"/>
    </row>
    <row r="21" spans="2:14">
      <c r="B21" s="594" t="s">
        <v>101</v>
      </c>
      <c r="C21" s="924">
        <v>350000</v>
      </c>
      <c r="D21" s="860">
        <v>43190</v>
      </c>
      <c r="E21" s="925">
        <v>29166.667000000001</v>
      </c>
      <c r="F21" s="925">
        <v>5245.625</v>
      </c>
      <c r="G21" s="862">
        <f t="shared" si="0"/>
        <v>34412.292000000001</v>
      </c>
      <c r="H21" s="926"/>
      <c r="I21" s="244"/>
      <c r="J21" s="754"/>
    </row>
    <row r="22" spans="2:14" ht="13.5" thickBot="1">
      <c r="B22" s="239" t="s">
        <v>101</v>
      </c>
      <c r="C22" s="924">
        <v>500000</v>
      </c>
      <c r="D22" s="927">
        <v>43190</v>
      </c>
      <c r="E22" s="925">
        <v>41666.667000000001</v>
      </c>
      <c r="F22" s="925">
        <v>7631.25</v>
      </c>
      <c r="G22" s="928">
        <f t="shared" si="0"/>
        <v>49297.917000000001</v>
      </c>
      <c r="H22" s="926"/>
      <c r="I22" s="244"/>
      <c r="J22" s="754"/>
    </row>
    <row r="23" spans="2:14" s="734" customFormat="1" ht="14.25" thickBot="1">
      <c r="B23" s="961" t="s">
        <v>297</v>
      </c>
      <c r="C23" s="962"/>
      <c r="D23" s="972"/>
      <c r="E23" s="724">
        <f>SUM(E17:E22)</f>
        <v>291666.66766666662</v>
      </c>
      <c r="F23" s="769">
        <f>SUM(F17:F22)</f>
        <v>53690.8485</v>
      </c>
      <c r="G23" s="770">
        <f t="shared" si="0"/>
        <v>345357.51616666664</v>
      </c>
      <c r="H23" s="725"/>
      <c r="I23" s="726"/>
      <c r="J23" s="754"/>
      <c r="K23" s="708"/>
      <c r="L23" s="708"/>
      <c r="M23" s="708"/>
      <c r="N23" s="708"/>
    </row>
    <row r="24" spans="2:14" s="734" customFormat="1">
      <c r="B24" s="214" t="s">
        <v>101</v>
      </c>
      <c r="C24" s="929">
        <v>500000</v>
      </c>
      <c r="D24" s="915">
        <v>43281</v>
      </c>
      <c r="E24" s="738">
        <v>0</v>
      </c>
      <c r="F24" s="738">
        <v>7014.5829999999996</v>
      </c>
      <c r="G24" s="930">
        <f t="shared" ref="G24:G29" si="1">SUM(E24:F24)</f>
        <v>7014.5829999999996</v>
      </c>
      <c r="H24" s="931"/>
      <c r="I24" s="932"/>
      <c r="J24" s="754"/>
      <c r="K24" s="708"/>
      <c r="L24" s="708"/>
      <c r="M24" s="708"/>
      <c r="N24" s="708"/>
    </row>
    <row r="25" spans="2:14" s="734" customFormat="1">
      <c r="B25" s="224" t="s">
        <v>101</v>
      </c>
      <c r="C25" s="933">
        <v>1150000</v>
      </c>
      <c r="D25" s="860">
        <v>43281</v>
      </c>
      <c r="E25" s="861">
        <v>0</v>
      </c>
      <c r="F25" s="861">
        <v>15721.724537037</v>
      </c>
      <c r="G25" s="934">
        <f t="shared" si="1"/>
        <v>15721.724537037</v>
      </c>
      <c r="H25" s="935"/>
      <c r="I25" s="233"/>
      <c r="J25" s="708"/>
      <c r="K25" s="708"/>
      <c r="L25" s="708"/>
      <c r="M25" s="708"/>
      <c r="N25" s="708"/>
    </row>
    <row r="26" spans="2:14">
      <c r="B26" s="224" t="s">
        <v>101</v>
      </c>
      <c r="C26" s="933">
        <v>1000000</v>
      </c>
      <c r="D26" s="860">
        <v>43281</v>
      </c>
      <c r="E26" s="861">
        <v>0</v>
      </c>
      <c r="F26" s="861">
        <v>13628.935185185201</v>
      </c>
      <c r="G26" s="934">
        <f t="shared" si="1"/>
        <v>13628.935185185201</v>
      </c>
      <c r="H26" s="935"/>
      <c r="I26" s="233"/>
    </row>
    <row r="27" spans="2:14" s="734" customFormat="1">
      <c r="B27" s="917" t="s">
        <v>101</v>
      </c>
      <c r="C27" s="918">
        <v>1000000</v>
      </c>
      <c r="D27" s="919">
        <v>43281</v>
      </c>
      <c r="E27" s="920">
        <v>71428.570999999996</v>
      </c>
      <c r="F27" s="920">
        <v>1265.6949999999999</v>
      </c>
      <c r="G27" s="921">
        <f t="shared" si="1"/>
        <v>72694.266000000003</v>
      </c>
      <c r="H27" s="965" t="s">
        <v>169</v>
      </c>
      <c r="I27" s="966"/>
      <c r="J27" s="708"/>
      <c r="K27" s="708"/>
      <c r="L27" s="708"/>
      <c r="M27" s="708"/>
      <c r="N27" s="708"/>
    </row>
    <row r="28" spans="2:14">
      <c r="B28" s="224" t="s">
        <v>101</v>
      </c>
      <c r="C28" s="936">
        <v>350000</v>
      </c>
      <c r="D28" s="860">
        <v>43281</v>
      </c>
      <c r="E28" s="925">
        <v>0</v>
      </c>
      <c r="F28" s="925">
        <v>4821.7359999999999</v>
      </c>
      <c r="G28" s="934">
        <f t="shared" si="1"/>
        <v>4821.7359999999999</v>
      </c>
      <c r="H28" s="937"/>
      <c r="I28" s="315"/>
    </row>
    <row r="29" spans="2:14" s="734" customFormat="1" ht="13.5" thickBot="1">
      <c r="B29" s="337" t="s">
        <v>101</v>
      </c>
      <c r="C29" s="936">
        <v>500000</v>
      </c>
      <c r="D29" s="927">
        <v>43281</v>
      </c>
      <c r="E29" s="925">
        <v>0</v>
      </c>
      <c r="F29" s="925">
        <v>7014.5829999999996</v>
      </c>
      <c r="G29" s="938">
        <f t="shared" si="1"/>
        <v>7014.5829999999996</v>
      </c>
      <c r="H29" s="937"/>
      <c r="I29" s="315"/>
      <c r="J29" s="708"/>
      <c r="K29" s="708"/>
      <c r="L29" s="708"/>
      <c r="M29" s="708"/>
      <c r="N29" s="708"/>
    </row>
    <row r="30" spans="2:14" ht="14.25" thickBot="1">
      <c r="B30" s="961" t="s">
        <v>298</v>
      </c>
      <c r="C30" s="962"/>
      <c r="D30" s="972"/>
      <c r="E30" s="724">
        <f>SUM(E24:E29)</f>
        <v>71428.570999999996</v>
      </c>
      <c r="F30" s="769">
        <f>SUM(F24:F29)</f>
        <v>49467.256722222199</v>
      </c>
      <c r="G30" s="770">
        <f t="shared" ref="G30:G37" si="2">SUM(E30:F30)</f>
        <v>120895.8277222222</v>
      </c>
      <c r="H30" s="725"/>
      <c r="I30" s="726"/>
    </row>
    <row r="31" spans="2:14" s="734" customFormat="1">
      <c r="B31" s="680" t="s">
        <v>122</v>
      </c>
      <c r="C31" s="752">
        <v>1488000</v>
      </c>
      <c r="D31" s="771">
        <v>43307</v>
      </c>
      <c r="E31" s="751">
        <v>106285.71400000001</v>
      </c>
      <c r="F31" s="751">
        <v>6145.3810000000003</v>
      </c>
      <c r="G31" s="752">
        <f t="shared" si="2"/>
        <v>112431.095</v>
      </c>
      <c r="H31" s="680"/>
      <c r="I31" s="682"/>
      <c r="J31" s="708"/>
      <c r="K31" s="708"/>
      <c r="L31" s="708"/>
      <c r="M31" s="708"/>
      <c r="N31" s="708"/>
    </row>
    <row r="32" spans="2:14">
      <c r="B32" s="681" t="s">
        <v>101</v>
      </c>
      <c r="C32" s="759">
        <v>2418000</v>
      </c>
      <c r="D32" s="776">
        <v>43307</v>
      </c>
      <c r="E32" s="758">
        <v>172714.28599999999</v>
      </c>
      <c r="F32" s="758">
        <v>9552.0589999999993</v>
      </c>
      <c r="G32" s="759">
        <f t="shared" si="2"/>
        <v>182266.345</v>
      </c>
      <c r="H32" s="681"/>
      <c r="I32" s="683"/>
    </row>
    <row r="33" spans="2:9" ht="13.5" thickBot="1">
      <c r="B33" s="73" t="s">
        <v>101</v>
      </c>
      <c r="C33" s="772">
        <v>2500000</v>
      </c>
      <c r="D33" s="773">
        <v>43312</v>
      </c>
      <c r="E33" s="774">
        <v>0</v>
      </c>
      <c r="F33" s="774">
        <v>68507.638888888905</v>
      </c>
      <c r="G33" s="772">
        <f t="shared" si="2"/>
        <v>68507.638888888905</v>
      </c>
      <c r="H33" s="73"/>
      <c r="I33" s="79"/>
    </row>
    <row r="34" spans="2:9" ht="14.25" thickBot="1">
      <c r="B34" s="961" t="s">
        <v>299</v>
      </c>
      <c r="C34" s="962"/>
      <c r="D34" s="963"/>
      <c r="E34" s="724">
        <f>SUM(E31:E33)</f>
        <v>279000</v>
      </c>
      <c r="F34" s="769">
        <f>SUM(F31:F33)</f>
        <v>84205.078888888907</v>
      </c>
      <c r="G34" s="770">
        <f t="shared" si="2"/>
        <v>363205.07888888894</v>
      </c>
      <c r="H34" s="775"/>
      <c r="I34" s="726"/>
    </row>
    <row r="35" spans="2:9">
      <c r="B35" s="680" t="s">
        <v>101</v>
      </c>
      <c r="C35" s="749">
        <v>500000</v>
      </c>
      <c r="D35" s="771">
        <v>43373</v>
      </c>
      <c r="E35" s="751">
        <v>41666.667000000001</v>
      </c>
      <c r="F35" s="751">
        <v>7091.6670000000004</v>
      </c>
      <c r="G35" s="752">
        <f t="shared" si="2"/>
        <v>48758.334000000003</v>
      </c>
      <c r="H35" s="753"/>
      <c r="I35" s="682"/>
    </row>
    <row r="36" spans="2:9">
      <c r="B36" s="681" t="s">
        <v>101</v>
      </c>
      <c r="C36" s="756">
        <v>1150000</v>
      </c>
      <c r="D36" s="776">
        <v>43373</v>
      </c>
      <c r="E36" s="758">
        <v>95833.333333333328</v>
      </c>
      <c r="F36" s="758">
        <v>15894.490740740701</v>
      </c>
      <c r="G36" s="759">
        <f t="shared" si="2"/>
        <v>111727.82407407403</v>
      </c>
      <c r="H36" s="760"/>
      <c r="I36" s="683"/>
    </row>
    <row r="37" spans="2:9">
      <c r="B37" s="681" t="s">
        <v>101</v>
      </c>
      <c r="C37" s="756">
        <v>1000000</v>
      </c>
      <c r="D37" s="776">
        <v>43373</v>
      </c>
      <c r="E37" s="758">
        <v>83333.333333333328</v>
      </c>
      <c r="F37" s="758">
        <v>13778.703703703701</v>
      </c>
      <c r="G37" s="759">
        <f t="shared" si="2"/>
        <v>97112.037037037022</v>
      </c>
      <c r="H37" s="760"/>
      <c r="I37" s="683"/>
    </row>
    <row r="38" spans="2:9">
      <c r="B38" s="681" t="s">
        <v>101</v>
      </c>
      <c r="C38" s="764">
        <v>350000</v>
      </c>
      <c r="D38" s="757">
        <v>43373</v>
      </c>
      <c r="E38" s="765">
        <v>29166.667000000001</v>
      </c>
      <c r="F38" s="765">
        <v>4874.7219999999998</v>
      </c>
      <c r="G38" s="768">
        <f t="shared" ref="G38:G45" si="3">SUM(E38:F38)</f>
        <v>34041.389000000003</v>
      </c>
      <c r="H38" s="766"/>
      <c r="I38" s="68"/>
    </row>
    <row r="39" spans="2:9" ht="13.5" thickBot="1">
      <c r="B39" s="62" t="s">
        <v>101</v>
      </c>
      <c r="C39" s="764">
        <v>500000</v>
      </c>
      <c r="D39" s="767">
        <v>43373</v>
      </c>
      <c r="E39" s="765">
        <v>41666.667000000001</v>
      </c>
      <c r="F39" s="765">
        <v>7091.6670000000004</v>
      </c>
      <c r="G39" s="768">
        <f t="shared" si="3"/>
        <v>48758.334000000003</v>
      </c>
      <c r="H39" s="766"/>
      <c r="I39" s="68"/>
    </row>
    <row r="40" spans="2:9" ht="14.25" thickBot="1">
      <c r="B40" s="961" t="s">
        <v>300</v>
      </c>
      <c r="C40" s="962"/>
      <c r="D40" s="972"/>
      <c r="E40" s="724">
        <f>SUM(E35:E39)</f>
        <v>291666.66766666668</v>
      </c>
      <c r="F40" s="769">
        <f>SUM(F35:F39)</f>
        <v>48731.250444444406</v>
      </c>
      <c r="G40" s="770">
        <f t="shared" si="3"/>
        <v>340397.9181111111</v>
      </c>
      <c r="H40" s="775"/>
      <c r="I40" s="726"/>
    </row>
    <row r="41" spans="2:9">
      <c r="B41" s="680" t="s">
        <v>101</v>
      </c>
      <c r="C41" s="752">
        <v>2500000</v>
      </c>
      <c r="D41" s="771">
        <v>43404</v>
      </c>
      <c r="E41" s="751">
        <v>0</v>
      </c>
      <c r="F41" s="751">
        <v>52963.888888888898</v>
      </c>
      <c r="G41" s="752">
        <f>SUM(E41:F41)</f>
        <v>52963.888888888898</v>
      </c>
      <c r="H41" s="680"/>
      <c r="I41" s="682"/>
    </row>
    <row r="42" spans="2:9" ht="13.5" thickBot="1">
      <c r="B42" s="73" t="s">
        <v>101</v>
      </c>
      <c r="C42" s="772">
        <v>1250000</v>
      </c>
      <c r="D42" s="773">
        <v>43404</v>
      </c>
      <c r="E42" s="774">
        <v>0</v>
      </c>
      <c r="F42" s="774">
        <v>36753.273000000001</v>
      </c>
      <c r="G42" s="772">
        <f>SUM(E42:F42)</f>
        <v>36753.273000000001</v>
      </c>
      <c r="H42" s="73"/>
      <c r="I42" s="79"/>
    </row>
    <row r="43" spans="2:9" ht="14.25" thickBot="1">
      <c r="B43" s="961" t="s">
        <v>339</v>
      </c>
      <c r="C43" s="962"/>
      <c r="D43" s="963"/>
      <c r="E43" s="724">
        <f>SUM(E41:E41)</f>
        <v>0</v>
      </c>
      <c r="F43" s="769">
        <f>SUM(F41:F42)</f>
        <v>89717.161888888892</v>
      </c>
      <c r="G43" s="770">
        <f>SUM(E43:F43)</f>
        <v>89717.161888888892</v>
      </c>
      <c r="H43" s="775"/>
      <c r="I43" s="726"/>
    </row>
    <row r="44" spans="2:9">
      <c r="B44" s="680" t="s">
        <v>101</v>
      </c>
      <c r="C44" s="749">
        <v>500000</v>
      </c>
      <c r="D44" s="750">
        <v>43465</v>
      </c>
      <c r="E44" s="751">
        <v>0</v>
      </c>
      <c r="F44" s="751">
        <v>6382.5</v>
      </c>
      <c r="G44" s="752">
        <f t="shared" si="3"/>
        <v>6382.5</v>
      </c>
      <c r="H44" s="680"/>
      <c r="I44" s="682"/>
    </row>
    <row r="45" spans="2:9">
      <c r="B45" s="681" t="s">
        <v>101</v>
      </c>
      <c r="C45" s="756">
        <v>1150000</v>
      </c>
      <c r="D45" s="757">
        <v>43465</v>
      </c>
      <c r="E45" s="758">
        <v>0</v>
      </c>
      <c r="F45" s="758">
        <v>14305.041666666701</v>
      </c>
      <c r="G45" s="759">
        <f t="shared" si="3"/>
        <v>14305.041666666701</v>
      </c>
      <c r="H45" s="681"/>
      <c r="I45" s="683"/>
    </row>
    <row r="46" spans="2:9">
      <c r="B46" s="681" t="s">
        <v>101</v>
      </c>
      <c r="C46" s="756">
        <v>1000000</v>
      </c>
      <c r="D46" s="757">
        <v>43465</v>
      </c>
      <c r="E46" s="758">
        <v>0</v>
      </c>
      <c r="F46" s="758">
        <v>12400.833333333299</v>
      </c>
      <c r="G46" s="759">
        <f>SUM(E46:F46)</f>
        <v>12400.833333333299</v>
      </c>
      <c r="H46" s="681"/>
      <c r="I46" s="683"/>
    </row>
    <row r="47" spans="2:9">
      <c r="B47" s="681" t="s">
        <v>101</v>
      </c>
      <c r="C47" s="764">
        <v>350000</v>
      </c>
      <c r="D47" s="757">
        <v>43465</v>
      </c>
      <c r="E47" s="765">
        <v>0</v>
      </c>
      <c r="F47" s="765">
        <v>4387.25</v>
      </c>
      <c r="G47" s="759">
        <f>SUM(E47:F47)</f>
        <v>4387.25</v>
      </c>
      <c r="H47" s="681"/>
      <c r="I47" s="683"/>
    </row>
    <row r="48" spans="2:9" ht="13.5" thickBot="1">
      <c r="B48" s="62" t="s">
        <v>101</v>
      </c>
      <c r="C48" s="764">
        <v>500000</v>
      </c>
      <c r="D48" s="767">
        <v>43465</v>
      </c>
      <c r="E48" s="765">
        <v>0</v>
      </c>
      <c r="F48" s="765">
        <v>6382.5</v>
      </c>
      <c r="G48" s="768">
        <f>SUM(E48:F48)</f>
        <v>6382.5</v>
      </c>
      <c r="H48" s="681"/>
      <c r="I48" s="683"/>
    </row>
    <row r="49" spans="2:9" ht="14.25" thickBot="1">
      <c r="B49" s="961" t="s">
        <v>301</v>
      </c>
      <c r="C49" s="962"/>
      <c r="D49" s="963"/>
      <c r="E49" s="724">
        <f>SUM(E44:E48)</f>
        <v>0</v>
      </c>
      <c r="F49" s="769">
        <f>SUM(F44:F48)</f>
        <v>43858.125</v>
      </c>
      <c r="G49" s="770">
        <f>SUM(E49:F49)</f>
        <v>43858.125</v>
      </c>
      <c r="H49" s="725"/>
      <c r="I49" s="726"/>
    </row>
    <row r="50" spans="2:9" ht="13.5" thickBot="1">
      <c r="B50" s="727"/>
      <c r="C50" s="728"/>
      <c r="D50" s="729"/>
      <c r="E50" s="729"/>
      <c r="F50" s="729"/>
      <c r="G50" s="727"/>
      <c r="H50" s="727"/>
      <c r="I50" s="727"/>
    </row>
    <row r="51" spans="2:9" ht="14.25" thickBot="1">
      <c r="B51" s="967" t="s">
        <v>295</v>
      </c>
      <c r="C51" s="968"/>
      <c r="D51" s="969"/>
      <c r="E51" s="730">
        <f>+E49+E40+E34+E30+E23+E16+E43</f>
        <v>1212761.9063333333</v>
      </c>
      <c r="F51" s="730">
        <f>+F49+F40+F34+F30+F23+F16+F43</f>
        <v>393606.14944444445</v>
      </c>
      <c r="G51" s="730">
        <f>+G49+G40+G34+G30+G23+G16+G43</f>
        <v>1606368.0557777777</v>
      </c>
      <c r="H51" s="731"/>
      <c r="I51" s="732"/>
    </row>
  </sheetData>
  <mergeCells count="17">
    <mergeCell ref="B51:D51"/>
    <mergeCell ref="B4:C4"/>
    <mergeCell ref="B6:D6"/>
    <mergeCell ref="B8:D8"/>
    <mergeCell ref="B40:D40"/>
    <mergeCell ref="B30:D30"/>
    <mergeCell ref="B34:D34"/>
    <mergeCell ref="B10:F10"/>
    <mergeCell ref="B11:F11"/>
    <mergeCell ref="B13:C13"/>
    <mergeCell ref="B16:D16"/>
    <mergeCell ref="B23:D23"/>
    <mergeCell ref="B43:D43"/>
    <mergeCell ref="B1:F1"/>
    <mergeCell ref="B2:F2"/>
    <mergeCell ref="H27:I27"/>
    <mergeCell ref="B49:D49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5:G7 G9:G29 G44:G48 G33:G39 G31:G32 G41:G4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V175"/>
  <sheetViews>
    <sheetView workbookViewId="0">
      <selection activeCell="M30" sqref="M30"/>
    </sheetView>
  </sheetViews>
  <sheetFormatPr baseColWidth="10" defaultRowHeight="12.75"/>
  <cols>
    <col min="1" max="1" width="22.8554687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328" bestFit="1" customWidth="1"/>
    <col min="15" max="15" width="24" style="7" bestFit="1" customWidth="1"/>
    <col min="16" max="16" width="12.5703125" style="1" bestFit="1" customWidth="1"/>
    <col min="17" max="17" width="17.5703125" style="2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7" ht="13.5" thickBot="1"/>
    <row r="2" spans="1:17" ht="13.5" thickBot="1">
      <c r="A2" s="989" t="s">
        <v>0</v>
      </c>
      <c r="B2" s="987" t="s">
        <v>1</v>
      </c>
      <c r="C2" s="987"/>
      <c r="D2" s="987"/>
      <c r="E2" s="987"/>
      <c r="F2" s="987"/>
      <c r="G2" s="987"/>
      <c r="H2" s="988" t="s">
        <v>2</v>
      </c>
      <c r="I2" s="988"/>
      <c r="J2" s="988"/>
      <c r="K2" s="988" t="s">
        <v>3</v>
      </c>
      <c r="L2" s="988"/>
      <c r="M2" s="989" t="s">
        <v>4</v>
      </c>
    </row>
    <row r="3" spans="1:17" ht="13.5" thickBot="1">
      <c r="A3" s="989"/>
      <c r="B3" s="699" t="s">
        <v>5</v>
      </c>
      <c r="C3" s="699" t="s">
        <v>6</v>
      </c>
      <c r="D3" s="699" t="s">
        <v>7</v>
      </c>
      <c r="E3" s="29" t="s">
        <v>8</v>
      </c>
      <c r="F3" s="28" t="s">
        <v>9</v>
      </c>
      <c r="G3" s="700" t="s">
        <v>10</v>
      </c>
      <c r="H3" s="28" t="s">
        <v>11</v>
      </c>
      <c r="I3" s="699" t="s">
        <v>12</v>
      </c>
      <c r="J3" s="700" t="s">
        <v>13</v>
      </c>
      <c r="K3" s="29" t="s">
        <v>11</v>
      </c>
      <c r="L3" s="700" t="s">
        <v>14</v>
      </c>
      <c r="M3" s="989"/>
    </row>
    <row r="4" spans="1:17" s="6" customFormat="1" ht="13.5" hidden="1" thickBot="1">
      <c r="A4" s="172" t="s">
        <v>17</v>
      </c>
      <c r="B4" s="173" t="s">
        <v>18</v>
      </c>
      <c r="C4" s="174">
        <v>42338</v>
      </c>
      <c r="D4" s="175" t="s">
        <v>19</v>
      </c>
      <c r="E4" s="176">
        <v>185713.44</v>
      </c>
      <c r="F4" s="177">
        <f>+E4*2.0433</f>
        <v>379468.27195199998</v>
      </c>
      <c r="G4" s="178">
        <v>42459</v>
      </c>
      <c r="H4" s="179">
        <v>305000</v>
      </c>
      <c r="I4" s="174"/>
      <c r="J4" s="178">
        <f>+C4+90</f>
        <v>42428</v>
      </c>
      <c r="K4" s="180">
        <f>90414.1+83300*1.12825</f>
        <v>184397.32500000001</v>
      </c>
      <c r="L4" s="181"/>
      <c r="M4" s="182">
        <f t="shared" ref="M4:M17" si="0">E4-K4</f>
        <v>1316.1149999999907</v>
      </c>
      <c r="N4" s="160"/>
      <c r="O4" s="7"/>
      <c r="Q4" s="84"/>
    </row>
    <row r="5" spans="1:17" s="6" customFormat="1" hidden="1">
      <c r="A5" s="183" t="s">
        <v>21</v>
      </c>
      <c r="B5" s="184" t="s">
        <v>22</v>
      </c>
      <c r="C5" s="185">
        <v>42389</v>
      </c>
      <c r="D5" s="186" t="s">
        <v>19</v>
      </c>
      <c r="E5" s="187">
        <v>57547.5</v>
      </c>
      <c r="F5" s="188">
        <f>E5*2.0365</f>
        <v>117195.48375000001</v>
      </c>
      <c r="G5" s="189">
        <v>42479</v>
      </c>
      <c r="H5" s="190"/>
      <c r="I5" s="185"/>
      <c r="J5" s="189"/>
      <c r="K5" s="191">
        <v>57547.5</v>
      </c>
      <c r="L5" s="192"/>
      <c r="M5" s="193">
        <f t="shared" si="0"/>
        <v>0</v>
      </c>
      <c r="N5" s="160"/>
      <c r="O5" s="7"/>
      <c r="Q5" s="84"/>
    </row>
    <row r="6" spans="1:17" s="6" customFormat="1" hidden="1">
      <c r="A6" s="140" t="s">
        <v>15</v>
      </c>
      <c r="B6" s="141" t="s">
        <v>23</v>
      </c>
      <c r="C6" s="142">
        <v>42394</v>
      </c>
      <c r="D6" s="143" t="s">
        <v>19</v>
      </c>
      <c r="E6" s="144">
        <v>61973.64</v>
      </c>
      <c r="F6" s="145">
        <f>E6*2.03285</f>
        <v>125983.11407399998</v>
      </c>
      <c r="G6" s="146">
        <v>42484</v>
      </c>
      <c r="H6" s="147"/>
      <c r="I6" s="142"/>
      <c r="J6" s="146"/>
      <c r="K6" s="149">
        <v>61973.64</v>
      </c>
      <c r="L6" s="148"/>
      <c r="M6" s="150">
        <f t="shared" si="0"/>
        <v>0</v>
      </c>
      <c r="N6" s="160"/>
      <c r="O6" s="7"/>
      <c r="Q6" s="84"/>
    </row>
    <row r="7" spans="1:17" s="6" customFormat="1" hidden="1">
      <c r="A7" s="140" t="s">
        <v>15</v>
      </c>
      <c r="B7" s="141" t="s">
        <v>24</v>
      </c>
      <c r="C7" s="142">
        <v>42422</v>
      </c>
      <c r="D7" s="143" t="s">
        <v>19</v>
      </c>
      <c r="E7" s="144">
        <v>31260.71</v>
      </c>
      <c r="F7" s="145">
        <f>+E7*2.0168</f>
        <v>63046.599927999996</v>
      </c>
      <c r="G7" s="146">
        <f>+C7+90</f>
        <v>42512</v>
      </c>
      <c r="H7" s="147"/>
      <c r="I7" s="142"/>
      <c r="J7" s="146"/>
      <c r="K7" s="149">
        <v>31182.71</v>
      </c>
      <c r="L7" s="148"/>
      <c r="M7" s="150">
        <f t="shared" si="0"/>
        <v>78</v>
      </c>
      <c r="N7" s="160"/>
      <c r="O7" s="7"/>
      <c r="Q7" s="84"/>
    </row>
    <row r="8" spans="1:17" s="6" customFormat="1" hidden="1">
      <c r="A8" s="140" t="s">
        <v>17</v>
      </c>
      <c r="B8" s="141" t="s">
        <v>25</v>
      </c>
      <c r="C8" s="142">
        <v>42432</v>
      </c>
      <c r="D8" s="143" t="s">
        <v>19</v>
      </c>
      <c r="E8" s="144">
        <v>97110.5</v>
      </c>
      <c r="F8" s="145">
        <f>E8*2.02425</f>
        <v>196575.92962499999</v>
      </c>
      <c r="G8" s="146">
        <v>42567</v>
      </c>
      <c r="H8" s="147"/>
      <c r="I8" s="142"/>
      <c r="J8" s="146"/>
      <c r="K8" s="149">
        <f>12997+84054</f>
        <v>97051</v>
      </c>
      <c r="L8" s="148"/>
      <c r="M8" s="150">
        <f t="shared" si="0"/>
        <v>59.5</v>
      </c>
      <c r="N8" s="160"/>
      <c r="O8" s="7"/>
      <c r="Q8" s="84"/>
    </row>
    <row r="9" spans="1:17" s="5" customFormat="1" hidden="1">
      <c r="A9" s="140" t="s">
        <v>15</v>
      </c>
      <c r="B9" s="141" t="s">
        <v>39</v>
      </c>
      <c r="C9" s="142">
        <v>42445</v>
      </c>
      <c r="D9" s="143" t="s">
        <v>19</v>
      </c>
      <c r="E9" s="144">
        <v>17500.78</v>
      </c>
      <c r="F9" s="145">
        <f>+E9*2.01395</f>
        <v>35245.695881</v>
      </c>
      <c r="G9" s="146">
        <f>C9+90</f>
        <v>42535</v>
      </c>
      <c r="H9" s="147"/>
      <c r="I9" s="142"/>
      <c r="J9" s="146"/>
      <c r="K9" s="149">
        <v>17437.78</v>
      </c>
      <c r="L9" s="148"/>
      <c r="M9" s="150">
        <f t="shared" si="0"/>
        <v>63</v>
      </c>
      <c r="N9" s="160"/>
      <c r="O9" s="47"/>
      <c r="Q9" s="160"/>
    </row>
    <row r="10" spans="1:17" s="5" customFormat="1" hidden="1">
      <c r="A10" s="140" t="s">
        <v>17</v>
      </c>
      <c r="B10" s="141" t="s">
        <v>44</v>
      </c>
      <c r="C10" s="142">
        <v>42461</v>
      </c>
      <c r="D10" s="143" t="s">
        <v>19</v>
      </c>
      <c r="E10" s="144">
        <v>15887.8</v>
      </c>
      <c r="F10" s="145">
        <f>E10*1.98505</f>
        <v>31538.077389999999</v>
      </c>
      <c r="G10" s="146">
        <v>42585</v>
      </c>
      <c r="H10" s="147"/>
      <c r="I10" s="142"/>
      <c r="J10" s="146"/>
      <c r="K10" s="149">
        <f>2196.38+13625</f>
        <v>15821.380000000001</v>
      </c>
      <c r="L10" s="148"/>
      <c r="M10" s="150">
        <f t="shared" si="0"/>
        <v>66.419999999998254</v>
      </c>
      <c r="N10" s="160"/>
      <c r="O10" s="47"/>
      <c r="Q10" s="160"/>
    </row>
    <row r="11" spans="1:17" s="5" customFormat="1" hidden="1">
      <c r="A11" s="140" t="s">
        <v>15</v>
      </c>
      <c r="B11" s="141" t="s">
        <v>83</v>
      </c>
      <c r="C11" s="142">
        <v>42495</v>
      </c>
      <c r="D11" s="143" t="s">
        <v>19</v>
      </c>
      <c r="E11" s="144">
        <v>13784.67</v>
      </c>
      <c r="F11" s="145">
        <f>+E11*1.98675</f>
        <v>27386.693122500001</v>
      </c>
      <c r="G11" s="146">
        <f>+C11+90</f>
        <v>42585</v>
      </c>
      <c r="H11" s="147"/>
      <c r="I11" s="142"/>
      <c r="J11" s="146"/>
      <c r="K11" s="149">
        <v>13719.17</v>
      </c>
      <c r="L11" s="148"/>
      <c r="M11" s="150">
        <f t="shared" si="0"/>
        <v>65.5</v>
      </c>
      <c r="N11" s="160"/>
      <c r="O11" s="47"/>
      <c r="Q11" s="160"/>
    </row>
    <row r="12" spans="1:17" s="4" customFormat="1" hidden="1">
      <c r="A12" s="223" t="s">
        <v>15</v>
      </c>
      <c r="B12" s="224" t="s">
        <v>84</v>
      </c>
      <c r="C12" s="225">
        <v>42495</v>
      </c>
      <c r="D12" s="226" t="s">
        <v>16</v>
      </c>
      <c r="E12" s="227">
        <v>58790.64</v>
      </c>
      <c r="F12" s="228">
        <f>+E12*2.2687</f>
        <v>133378.324968</v>
      </c>
      <c r="G12" s="231">
        <f>+C12+90</f>
        <v>42585</v>
      </c>
      <c r="H12" s="230"/>
      <c r="I12" s="225"/>
      <c r="J12" s="231"/>
      <c r="K12" s="232">
        <f>46740.64+11960</f>
        <v>58700.639999999999</v>
      </c>
      <c r="L12" s="233"/>
      <c r="M12" s="234">
        <f t="shared" si="0"/>
        <v>90</v>
      </c>
      <c r="N12" s="328"/>
      <c r="O12" s="47"/>
      <c r="Q12" s="328"/>
    </row>
    <row r="13" spans="1:17" s="6" customFormat="1" hidden="1">
      <c r="A13" s="140" t="s">
        <v>17</v>
      </c>
      <c r="B13" s="141" t="s">
        <v>88</v>
      </c>
      <c r="C13" s="142">
        <v>42506</v>
      </c>
      <c r="D13" s="143" t="s">
        <v>19</v>
      </c>
      <c r="E13" s="144">
        <v>38827.5</v>
      </c>
      <c r="F13" s="145">
        <f>+E13*2.0226</f>
        <v>78532.501500000013</v>
      </c>
      <c r="G13" s="146">
        <v>42630</v>
      </c>
      <c r="H13" s="147"/>
      <c r="I13" s="142"/>
      <c r="J13" s="146"/>
      <c r="K13" s="149">
        <f>5188.54+33549.74</f>
        <v>38738.28</v>
      </c>
      <c r="L13" s="148"/>
      <c r="M13" s="150">
        <f t="shared" si="0"/>
        <v>89.220000000001164</v>
      </c>
      <c r="N13" s="160"/>
      <c r="O13" s="7"/>
      <c r="Q13" s="84"/>
    </row>
    <row r="14" spans="1:17" s="5" customFormat="1" hidden="1">
      <c r="A14" s="140" t="s">
        <v>17</v>
      </c>
      <c r="B14" s="141" t="s">
        <v>131</v>
      </c>
      <c r="C14" s="142">
        <v>42542</v>
      </c>
      <c r="D14" s="143" t="s">
        <v>19</v>
      </c>
      <c r="E14" s="144">
        <v>37074</v>
      </c>
      <c r="F14" s="145">
        <f>+E14*2.14625</f>
        <v>79570.072500000009</v>
      </c>
      <c r="G14" s="146">
        <v>42669</v>
      </c>
      <c r="H14" s="147"/>
      <c r="I14" s="142"/>
      <c r="J14" s="146"/>
      <c r="K14" s="149">
        <f>13578+5163.9+18217.5</f>
        <v>36959.4</v>
      </c>
      <c r="L14" s="148"/>
      <c r="M14" s="150">
        <f t="shared" si="0"/>
        <v>114.59999999999854</v>
      </c>
      <c r="N14" s="160"/>
      <c r="O14" s="47"/>
      <c r="P14" s="160"/>
      <c r="Q14" s="160"/>
    </row>
    <row r="15" spans="1:17" s="5" customFormat="1" hidden="1">
      <c r="A15" s="140" t="s">
        <v>17</v>
      </c>
      <c r="B15" s="141" t="s">
        <v>132</v>
      </c>
      <c r="C15" s="142">
        <v>42542</v>
      </c>
      <c r="D15" s="143" t="s">
        <v>19</v>
      </c>
      <c r="E15" s="144">
        <v>3480</v>
      </c>
      <c r="F15" s="145">
        <f>+E15*2.14625</f>
        <v>7468.9500000000007</v>
      </c>
      <c r="G15" s="146">
        <v>42669</v>
      </c>
      <c r="H15" s="147"/>
      <c r="I15" s="142"/>
      <c r="J15" s="146"/>
      <c r="K15" s="149">
        <v>3455</v>
      </c>
      <c r="L15" s="148"/>
      <c r="M15" s="150">
        <f t="shared" si="0"/>
        <v>25</v>
      </c>
      <c r="N15" s="160"/>
      <c r="O15" s="47"/>
      <c r="Q15" s="160"/>
    </row>
    <row r="16" spans="1:17" hidden="1">
      <c r="A16" s="223" t="s">
        <v>20</v>
      </c>
      <c r="B16" s="224" t="s">
        <v>161</v>
      </c>
      <c r="C16" s="225">
        <v>42695</v>
      </c>
      <c r="D16" s="226" t="s">
        <v>16</v>
      </c>
      <c r="E16" s="227">
        <v>284382.2</v>
      </c>
      <c r="F16" s="228">
        <f>+E16*2.42505</f>
        <v>689641.05411000003</v>
      </c>
      <c r="G16" s="231">
        <f>+C16+60</f>
        <v>42755</v>
      </c>
      <c r="H16" s="230"/>
      <c r="I16" s="225"/>
      <c r="J16" s="231"/>
      <c r="K16" s="232">
        <f>49950+100950+101950+31500</f>
        <v>284350</v>
      </c>
      <c r="L16" s="233"/>
      <c r="M16" s="234">
        <f t="shared" si="0"/>
        <v>32.200000000011642</v>
      </c>
    </row>
    <row r="17" spans="1:17" ht="13.5" hidden="1" thickBot="1">
      <c r="A17" s="161" t="s">
        <v>20</v>
      </c>
      <c r="B17" s="162" t="s">
        <v>164</v>
      </c>
      <c r="C17" s="163">
        <v>42704</v>
      </c>
      <c r="D17" s="164" t="s">
        <v>16</v>
      </c>
      <c r="E17" s="165">
        <v>187097.52</v>
      </c>
      <c r="F17" s="166">
        <f>+E17*2.42625</f>
        <v>453945.3579</v>
      </c>
      <c r="G17" s="167">
        <f>+C17+60</f>
        <v>42764</v>
      </c>
      <c r="H17" s="168"/>
      <c r="I17" s="163"/>
      <c r="J17" s="167"/>
      <c r="K17" s="170">
        <f>102950-31500+103950+11480</f>
        <v>186880</v>
      </c>
      <c r="L17" s="169"/>
      <c r="M17" s="171">
        <f t="shared" si="0"/>
        <v>217.51999999998952</v>
      </c>
    </row>
    <row r="18" spans="1:17" s="83" customFormat="1" hidden="1">
      <c r="A18" s="183" t="s">
        <v>17</v>
      </c>
      <c r="B18" s="184" t="s">
        <v>174</v>
      </c>
      <c r="C18" s="185">
        <v>42765</v>
      </c>
      <c r="D18" s="186" t="s">
        <v>19</v>
      </c>
      <c r="E18" s="187">
        <v>73064.399999999994</v>
      </c>
      <c r="F18" s="188">
        <f>+E18*2.26605</f>
        <v>165567.58361999999</v>
      </c>
      <c r="G18" s="189">
        <f>+C18+120</f>
        <v>42885</v>
      </c>
      <c r="H18" s="190"/>
      <c r="I18" s="185"/>
      <c r="J18" s="189"/>
      <c r="K18" s="191">
        <f>10173.28+62770</f>
        <v>72943.28</v>
      </c>
      <c r="L18" s="192"/>
      <c r="M18" s="193">
        <f t="shared" ref="M18:M30" si="1">+E18-K18</f>
        <v>121.11999999999534</v>
      </c>
      <c r="N18" s="329"/>
      <c r="O18" s="82"/>
      <c r="Q18" s="314"/>
    </row>
    <row r="19" spans="1:17" s="71" customFormat="1" hidden="1">
      <c r="A19" s="223" t="s">
        <v>177</v>
      </c>
      <c r="B19" s="224" t="s">
        <v>178</v>
      </c>
      <c r="C19" s="225">
        <v>42780</v>
      </c>
      <c r="D19" s="226" t="s">
        <v>16</v>
      </c>
      <c r="E19" s="227">
        <v>17555.59</v>
      </c>
      <c r="F19" s="228">
        <f>+E19*2.4179</f>
        <v>42447.661060999999</v>
      </c>
      <c r="G19" s="231">
        <f>+C19</f>
        <v>42780</v>
      </c>
      <c r="H19" s="230"/>
      <c r="I19" s="225"/>
      <c r="J19" s="231"/>
      <c r="K19" s="232">
        <v>17555.59</v>
      </c>
      <c r="L19" s="233"/>
      <c r="M19" s="234">
        <f t="shared" si="1"/>
        <v>0</v>
      </c>
      <c r="N19" s="313"/>
      <c r="O19" s="59"/>
      <c r="P19" s="83"/>
      <c r="Q19" s="314"/>
    </row>
    <row r="20" spans="1:17" s="83" customFormat="1" hidden="1">
      <c r="A20" s="140" t="s">
        <v>17</v>
      </c>
      <c r="B20" s="141" t="s">
        <v>181</v>
      </c>
      <c r="C20" s="142">
        <v>42781</v>
      </c>
      <c r="D20" s="143" t="s">
        <v>19</v>
      </c>
      <c r="E20" s="144">
        <v>17856</v>
      </c>
      <c r="F20" s="145">
        <f>+E20*2.272</f>
        <v>40568.831999999995</v>
      </c>
      <c r="G20" s="146">
        <f t="shared" ref="G20:G25" si="2">+C20+120</f>
        <v>42901</v>
      </c>
      <c r="H20" s="147"/>
      <c r="I20" s="142"/>
      <c r="J20" s="146"/>
      <c r="K20" s="149">
        <f>2549.2+15270</f>
        <v>17819.2</v>
      </c>
      <c r="L20" s="148"/>
      <c r="M20" s="150">
        <f t="shared" si="1"/>
        <v>36.799999999999272</v>
      </c>
      <c r="N20" s="329"/>
      <c r="O20" s="82"/>
      <c r="Q20" s="314"/>
    </row>
    <row r="21" spans="1:17" s="6" customFormat="1" hidden="1">
      <c r="A21" s="140" t="s">
        <v>17</v>
      </c>
      <c r="B21" s="141" t="s">
        <v>201</v>
      </c>
      <c r="C21" s="142">
        <v>42844</v>
      </c>
      <c r="D21" s="143" t="s">
        <v>19</v>
      </c>
      <c r="E21" s="144">
        <v>35287.199999999997</v>
      </c>
      <c r="F21" s="145">
        <f>+E21*2.31555</f>
        <v>81709.275959999999</v>
      </c>
      <c r="G21" s="146">
        <f t="shared" si="2"/>
        <v>42964</v>
      </c>
      <c r="H21" s="147"/>
      <c r="I21" s="142"/>
      <c r="J21" s="146"/>
      <c r="K21" s="149">
        <f>5062.04+30100</f>
        <v>35162.04</v>
      </c>
      <c r="L21" s="148"/>
      <c r="M21" s="150">
        <f t="shared" si="1"/>
        <v>125.15999999999622</v>
      </c>
      <c r="N21" s="160"/>
      <c r="O21" s="335"/>
      <c r="P21" s="83"/>
      <c r="Q21" s="314"/>
    </row>
    <row r="22" spans="1:17" s="6" customFormat="1" hidden="1">
      <c r="A22" s="140" t="s">
        <v>17</v>
      </c>
      <c r="B22" s="141" t="s">
        <v>209</v>
      </c>
      <c r="C22" s="142">
        <v>42864</v>
      </c>
      <c r="D22" s="143" t="s">
        <v>19</v>
      </c>
      <c r="E22" s="144">
        <v>73647</v>
      </c>
      <c r="F22" s="145">
        <f>+E22*2.39905</f>
        <v>176682.83534999998</v>
      </c>
      <c r="G22" s="146">
        <f t="shared" si="2"/>
        <v>42984</v>
      </c>
      <c r="H22" s="147"/>
      <c r="I22" s="142"/>
      <c r="J22" s="146"/>
      <c r="K22" s="149">
        <f>10380.8+63196.5</f>
        <v>73577.3</v>
      </c>
      <c r="L22" s="148"/>
      <c r="M22" s="150">
        <f t="shared" si="1"/>
        <v>69.69999999999709</v>
      </c>
      <c r="N22" s="160"/>
      <c r="O22" s="335"/>
      <c r="Q22" s="84"/>
    </row>
    <row r="23" spans="1:17" s="437" customFormat="1" hidden="1">
      <c r="A23" s="140" t="s">
        <v>17</v>
      </c>
      <c r="B23" s="141" t="s">
        <v>212</v>
      </c>
      <c r="C23" s="142">
        <v>42888</v>
      </c>
      <c r="D23" s="143" t="s">
        <v>19</v>
      </c>
      <c r="E23" s="144">
        <v>44179.99</v>
      </c>
      <c r="F23" s="145">
        <f>+E23*2.42865</f>
        <v>107297.73271350001</v>
      </c>
      <c r="G23" s="146">
        <f t="shared" si="2"/>
        <v>43008</v>
      </c>
      <c r="H23" s="147"/>
      <c r="I23" s="142"/>
      <c r="J23" s="146"/>
      <c r="K23" s="149">
        <f>4855.4+39173.04</f>
        <v>44028.44</v>
      </c>
      <c r="L23" s="148"/>
      <c r="M23" s="150">
        <f t="shared" si="1"/>
        <v>151.54999999999563</v>
      </c>
      <c r="N23" s="466"/>
      <c r="O23" s="467"/>
      <c r="Q23" s="466"/>
    </row>
    <row r="24" spans="1:17" s="6" customFormat="1" hidden="1">
      <c r="A24" s="586" t="s">
        <v>17</v>
      </c>
      <c r="B24" s="588" t="s">
        <v>213</v>
      </c>
      <c r="C24" s="589">
        <v>42928</v>
      </c>
      <c r="D24" s="590" t="s">
        <v>19</v>
      </c>
      <c r="E24" s="591">
        <v>92625.75</v>
      </c>
      <c r="F24" s="592">
        <f>+E24*2.4274</f>
        <v>224839.74554999999</v>
      </c>
      <c r="G24" s="593">
        <f t="shared" si="2"/>
        <v>43048</v>
      </c>
      <c r="H24" s="602"/>
      <c r="I24" s="589"/>
      <c r="J24" s="593"/>
      <c r="K24" s="149">
        <f>12804.1+79661.5</f>
        <v>92465.600000000006</v>
      </c>
      <c r="L24" s="605"/>
      <c r="M24" s="609">
        <f t="shared" si="1"/>
        <v>160.14999999999418</v>
      </c>
      <c r="N24" s="160"/>
      <c r="O24" s="335"/>
      <c r="Q24" s="84"/>
    </row>
    <row r="25" spans="1:17" hidden="1">
      <c r="A25" s="587" t="s">
        <v>177</v>
      </c>
      <c r="B25" s="594" t="s">
        <v>235</v>
      </c>
      <c r="C25" s="595">
        <v>42998</v>
      </c>
      <c r="D25" s="596" t="s">
        <v>16</v>
      </c>
      <c r="E25" s="597">
        <v>17117.849999999999</v>
      </c>
      <c r="F25" s="598">
        <f>+E25*2.9097</f>
        <v>49807.808144999995</v>
      </c>
      <c r="G25" s="599">
        <f t="shared" si="2"/>
        <v>43118</v>
      </c>
      <c r="H25" s="603"/>
      <c r="I25" s="595"/>
      <c r="J25" s="599"/>
      <c r="K25" s="606">
        <v>17117.849999999999</v>
      </c>
      <c r="L25" s="607"/>
      <c r="M25" s="610">
        <f t="shared" si="1"/>
        <v>0</v>
      </c>
    </row>
    <row r="26" spans="1:17" s="6" customFormat="1">
      <c r="A26" s="8" t="s">
        <v>17</v>
      </c>
      <c r="B26" s="249" t="s">
        <v>267</v>
      </c>
      <c r="C26" s="600">
        <v>43054</v>
      </c>
      <c r="D26" s="247" t="s">
        <v>19</v>
      </c>
      <c r="E26" s="248">
        <v>71193.600000000006</v>
      </c>
      <c r="F26" s="250">
        <f>+E26*2.4747</f>
        <v>176182.80192</v>
      </c>
      <c r="G26" s="601">
        <f>+C26+120</f>
        <v>43174</v>
      </c>
      <c r="H26" s="604"/>
      <c r="I26" s="600"/>
      <c r="J26" s="601"/>
      <c r="K26" s="246">
        <v>10243.52</v>
      </c>
      <c r="L26" s="608"/>
      <c r="M26" s="611">
        <f t="shared" si="1"/>
        <v>60950.080000000002</v>
      </c>
      <c r="N26" s="160"/>
      <c r="O26" s="335"/>
      <c r="Q26" s="84"/>
    </row>
    <row r="27" spans="1:17" hidden="1">
      <c r="A27" s="587" t="s">
        <v>177</v>
      </c>
      <c r="B27" s="594" t="s">
        <v>274</v>
      </c>
      <c r="C27" s="595">
        <v>43073</v>
      </c>
      <c r="D27" s="596" t="s">
        <v>16</v>
      </c>
      <c r="E27" s="597">
        <v>16991.82</v>
      </c>
      <c r="F27" s="598">
        <f>+E27*2.9231</f>
        <v>49668.789041999997</v>
      </c>
      <c r="G27" s="599">
        <f>+C27+0</f>
        <v>43073</v>
      </c>
      <c r="H27" s="603"/>
      <c r="I27" s="595"/>
      <c r="J27" s="599"/>
      <c r="K27" s="606">
        <v>16991.82</v>
      </c>
      <c r="L27" s="607"/>
      <c r="M27" s="610">
        <f t="shared" si="1"/>
        <v>0</v>
      </c>
    </row>
    <row r="28" spans="1:17" s="6" customFormat="1" hidden="1">
      <c r="A28" s="586" t="s">
        <v>17</v>
      </c>
      <c r="B28" s="588" t="s">
        <v>283</v>
      </c>
      <c r="C28" s="589">
        <v>43084</v>
      </c>
      <c r="D28" s="590" t="s">
        <v>19</v>
      </c>
      <c r="E28" s="591">
        <v>72028.800000000003</v>
      </c>
      <c r="F28" s="592">
        <f>+E28*2.4744</f>
        <v>178228.06272000002</v>
      </c>
      <c r="G28" s="593">
        <f>+C28+120</f>
        <v>43204</v>
      </c>
      <c r="H28" s="602"/>
      <c r="I28" s="589"/>
      <c r="J28" s="593"/>
      <c r="K28" s="845">
        <f>10364.16+61492.5</f>
        <v>71856.66</v>
      </c>
      <c r="L28" s="605"/>
      <c r="M28" s="609">
        <f t="shared" si="1"/>
        <v>172.13999999999942</v>
      </c>
      <c r="N28" s="160"/>
      <c r="O28" s="335"/>
      <c r="Q28" s="84"/>
    </row>
    <row r="29" spans="1:17" hidden="1">
      <c r="A29" s="238" t="s">
        <v>177</v>
      </c>
      <c r="B29" s="239" t="s">
        <v>319</v>
      </c>
      <c r="C29" s="240">
        <v>43182</v>
      </c>
      <c r="D29" s="241" t="s">
        <v>16</v>
      </c>
      <c r="E29" s="242">
        <v>13950.45</v>
      </c>
      <c r="F29" s="243">
        <f>+E29*2.9343</f>
        <v>40934.805435000002</v>
      </c>
      <c r="G29" s="263">
        <f>+C29</f>
        <v>43182</v>
      </c>
      <c r="H29" s="262"/>
      <c r="I29" s="240"/>
      <c r="J29" s="263"/>
      <c r="K29" s="245">
        <v>13950.45</v>
      </c>
      <c r="L29" s="244"/>
      <c r="M29" s="610">
        <f t="shared" si="1"/>
        <v>0</v>
      </c>
    </row>
    <row r="30" spans="1:17" s="6" customFormat="1">
      <c r="A30" s="332" t="s">
        <v>17</v>
      </c>
      <c r="B30" s="667" t="s">
        <v>320</v>
      </c>
      <c r="C30" s="668">
        <v>43164</v>
      </c>
      <c r="D30" s="669" t="s">
        <v>19</v>
      </c>
      <c r="E30" s="670">
        <v>35971.199999999997</v>
      </c>
      <c r="F30" s="333">
        <f>+E30*2.38585</f>
        <v>85821.887519999989</v>
      </c>
      <c r="G30" s="671">
        <f>+C30+120</f>
        <v>43284</v>
      </c>
      <c r="H30" s="672"/>
      <c r="I30" s="668"/>
      <c r="J30" s="671"/>
      <c r="K30" s="334"/>
      <c r="L30" s="673"/>
      <c r="M30" s="611">
        <f t="shared" si="1"/>
        <v>35971.199999999997</v>
      </c>
      <c r="N30" s="160"/>
      <c r="O30" s="335"/>
      <c r="Q30" s="84"/>
    </row>
    <row r="31" spans="1:17" s="6" customFormat="1" ht="13.5" thickBot="1">
      <c r="A31" s="9"/>
      <c r="B31" s="10"/>
      <c r="C31" s="11"/>
      <c r="D31" s="12"/>
      <c r="E31" s="13"/>
      <c r="F31" s="14"/>
      <c r="G31" s="15"/>
      <c r="H31" s="16"/>
      <c r="I31" s="11"/>
      <c r="J31" s="15"/>
      <c r="K31" s="17"/>
      <c r="L31" s="18"/>
      <c r="M31" s="612"/>
      <c r="N31" s="160"/>
      <c r="O31" s="335"/>
      <c r="Q31" s="84"/>
    </row>
    <row r="32" spans="1:17" s="25" customFormat="1" ht="13.5" thickBot="1">
      <c r="A32" s="20"/>
      <c r="B32" s="20"/>
      <c r="C32" s="21"/>
      <c r="D32" s="20"/>
      <c r="E32" s="22"/>
      <c r="F32" s="23"/>
      <c r="G32" s="21"/>
      <c r="H32" s="23"/>
      <c r="I32" s="21"/>
      <c r="J32" s="21"/>
      <c r="K32" s="22"/>
      <c r="L32" s="20"/>
      <c r="M32" s="24"/>
      <c r="N32" s="330"/>
      <c r="O32" s="7"/>
      <c r="Q32" s="674"/>
    </row>
    <row r="33" spans="1:17" ht="13.5" thickBot="1">
      <c r="A33" s="985" t="s">
        <v>0</v>
      </c>
      <c r="B33" s="987" t="s">
        <v>1</v>
      </c>
      <c r="C33" s="987"/>
      <c r="D33" s="987"/>
      <c r="E33" s="987"/>
      <c r="F33" s="987"/>
      <c r="G33" s="987"/>
      <c r="H33" s="988" t="s">
        <v>2</v>
      </c>
      <c r="I33" s="988"/>
      <c r="J33" s="988"/>
      <c r="K33" s="988" t="s">
        <v>3</v>
      </c>
      <c r="L33" s="988"/>
      <c r="M33" s="985" t="s">
        <v>4</v>
      </c>
    </row>
    <row r="34" spans="1:17" ht="13.5" thickBot="1">
      <c r="A34" s="986"/>
      <c r="B34" s="699" t="s">
        <v>5</v>
      </c>
      <c r="C34" s="699" t="s">
        <v>6</v>
      </c>
      <c r="D34" s="699" t="s">
        <v>7</v>
      </c>
      <c r="E34" s="29" t="s">
        <v>8</v>
      </c>
      <c r="F34" s="28" t="s">
        <v>9</v>
      </c>
      <c r="G34" s="700" t="s">
        <v>10</v>
      </c>
      <c r="H34" s="28" t="s">
        <v>11</v>
      </c>
      <c r="I34" s="699" t="s">
        <v>12</v>
      </c>
      <c r="J34" s="700" t="s">
        <v>13</v>
      </c>
      <c r="K34" s="29" t="s">
        <v>11</v>
      </c>
      <c r="L34" s="30" t="s">
        <v>14</v>
      </c>
      <c r="M34" s="986"/>
    </row>
    <row r="35" spans="1:17" s="44" customFormat="1" hidden="1">
      <c r="A35" s="48" t="s">
        <v>17</v>
      </c>
      <c r="B35" s="49" t="s">
        <v>26</v>
      </c>
      <c r="C35" s="50">
        <v>40680</v>
      </c>
      <c r="D35" s="51" t="s">
        <v>16</v>
      </c>
      <c r="E35" s="52">
        <v>5190.95</v>
      </c>
      <c r="F35" s="53">
        <f>+E35*1.95835</f>
        <v>10165.696932499999</v>
      </c>
      <c r="G35" s="54">
        <f>+C35+90</f>
        <v>40770</v>
      </c>
      <c r="H35" s="55"/>
      <c r="I35" s="52"/>
      <c r="J35" s="54"/>
      <c r="K35" s="56"/>
      <c r="L35" s="57"/>
      <c r="M35" s="58">
        <f>+E35-K35</f>
        <v>5190.95</v>
      </c>
      <c r="N35" s="288"/>
      <c r="O35" s="59"/>
      <c r="Q35" s="288"/>
    </row>
    <row r="36" spans="1:17" s="6" customFormat="1" hidden="1">
      <c r="A36" s="140" t="s">
        <v>17</v>
      </c>
      <c r="B36" s="141" t="s">
        <v>27</v>
      </c>
      <c r="C36" s="142">
        <v>42356</v>
      </c>
      <c r="D36" s="143" t="s">
        <v>19</v>
      </c>
      <c r="E36" s="144">
        <v>217912.86</v>
      </c>
      <c r="F36" s="145">
        <f>E36*2.01185</f>
        <v>438407.98739099997</v>
      </c>
      <c r="G36" s="146">
        <v>42485</v>
      </c>
      <c r="H36" s="147"/>
      <c r="I36" s="143"/>
      <c r="J36" s="148"/>
      <c r="K36" s="149">
        <f>113564.6+104348.26</f>
        <v>217912.86</v>
      </c>
      <c r="L36" s="148"/>
      <c r="M36" s="150">
        <f t="shared" ref="M36:M68" si="3">E36-K36</f>
        <v>0</v>
      </c>
      <c r="N36" s="160"/>
      <c r="O36" s="7"/>
      <c r="P36" s="84"/>
      <c r="Q36" s="84"/>
    </row>
    <row r="37" spans="1:17" s="26" customFormat="1" hidden="1">
      <c r="A37" s="223" t="s">
        <v>20</v>
      </c>
      <c r="B37" s="224" t="s">
        <v>28</v>
      </c>
      <c r="C37" s="225">
        <v>42359</v>
      </c>
      <c r="D37" s="226" t="s">
        <v>16</v>
      </c>
      <c r="E37" s="227">
        <v>694484.64</v>
      </c>
      <c r="F37" s="228">
        <f>E37*2.19375</f>
        <v>1523525.679</v>
      </c>
      <c r="G37" s="231">
        <v>42456</v>
      </c>
      <c r="H37" s="230"/>
      <c r="I37" s="226"/>
      <c r="J37" s="233"/>
      <c r="K37" s="232">
        <f>49960-39400+88520+100950+99945+49934.5+99924.5+24900+24960+49900+29960+29982+34949.5+21960+28000</f>
        <v>694445.5</v>
      </c>
      <c r="L37" s="233"/>
      <c r="M37" s="234">
        <f t="shared" si="3"/>
        <v>39.14000000001397</v>
      </c>
      <c r="N37" s="331"/>
      <c r="O37" s="7"/>
      <c r="Q37" s="331"/>
    </row>
    <row r="38" spans="1:17" ht="13.5" hidden="1" thickBot="1">
      <c r="A38" s="161" t="s">
        <v>17</v>
      </c>
      <c r="B38" s="162" t="s">
        <v>29</v>
      </c>
      <c r="C38" s="163">
        <v>42363</v>
      </c>
      <c r="D38" s="164" t="s">
        <v>16</v>
      </c>
      <c r="E38" s="165">
        <v>2590.8000000000002</v>
      </c>
      <c r="F38" s="166">
        <f>+E38*2.19995</f>
        <v>5699.6304600000003</v>
      </c>
      <c r="G38" s="167">
        <v>42485</v>
      </c>
      <c r="H38" s="168"/>
      <c r="I38" s="164"/>
      <c r="J38" s="169"/>
      <c r="K38" s="170">
        <v>2783.74</v>
      </c>
      <c r="L38" s="169"/>
      <c r="M38" s="171">
        <f t="shared" si="3"/>
        <v>-192.9399999999996</v>
      </c>
      <c r="P38" s="2"/>
    </row>
    <row r="39" spans="1:17" hidden="1">
      <c r="A39" s="213" t="s">
        <v>15</v>
      </c>
      <c r="B39" s="214" t="s">
        <v>30</v>
      </c>
      <c r="C39" s="215">
        <v>42388</v>
      </c>
      <c r="D39" s="216" t="s">
        <v>16</v>
      </c>
      <c r="E39" s="217">
        <v>70769.149999999994</v>
      </c>
      <c r="F39" s="218">
        <f>E39*2.21425</f>
        <v>156700.59038749998</v>
      </c>
      <c r="G39" s="219">
        <v>42478</v>
      </c>
      <c r="H39" s="220"/>
      <c r="I39" s="215"/>
      <c r="J39" s="219"/>
      <c r="K39" s="221">
        <f>20719.15+24950+24950</f>
        <v>70619.149999999994</v>
      </c>
      <c r="L39" s="219"/>
      <c r="M39" s="222">
        <f t="shared" si="3"/>
        <v>150</v>
      </c>
      <c r="N39" s="2"/>
    </row>
    <row r="40" spans="1:17" s="5" customFormat="1" hidden="1">
      <c r="A40" s="140" t="s">
        <v>17</v>
      </c>
      <c r="B40" s="141" t="s">
        <v>31</v>
      </c>
      <c r="C40" s="142">
        <v>42394</v>
      </c>
      <c r="D40" s="143" t="s">
        <v>19</v>
      </c>
      <c r="E40" s="144">
        <v>120772.23</v>
      </c>
      <c r="F40" s="145">
        <f>+E40*2.0293</f>
        <v>245083.086339</v>
      </c>
      <c r="G40" s="146">
        <v>42522</v>
      </c>
      <c r="H40" s="147"/>
      <c r="I40" s="143"/>
      <c r="J40" s="148"/>
      <c r="K40" s="149">
        <f>61633.4-K41+60440.56</f>
        <v>120729.95999999999</v>
      </c>
      <c r="L40" s="148"/>
      <c r="M40" s="150">
        <f t="shared" si="3"/>
        <v>42.270000000004075</v>
      </c>
      <c r="N40" s="160"/>
      <c r="O40" s="47"/>
      <c r="P40" s="160"/>
      <c r="Q40" s="160"/>
    </row>
    <row r="41" spans="1:17" s="5" customFormat="1" hidden="1">
      <c r="A41" s="140" t="s">
        <v>17</v>
      </c>
      <c r="B41" s="141" t="s">
        <v>32</v>
      </c>
      <c r="C41" s="142">
        <v>42396</v>
      </c>
      <c r="D41" s="143" t="s">
        <v>19</v>
      </c>
      <c r="E41" s="144">
        <v>1344</v>
      </c>
      <c r="F41" s="145">
        <f>+E41*2.0293</f>
        <v>2727.3792000000003</v>
      </c>
      <c r="G41" s="146">
        <v>42522</v>
      </c>
      <c r="H41" s="147"/>
      <c r="I41" s="143"/>
      <c r="J41" s="148"/>
      <c r="K41" s="149">
        <v>1344</v>
      </c>
      <c r="L41" s="148"/>
      <c r="M41" s="150">
        <f t="shared" si="3"/>
        <v>0</v>
      </c>
      <c r="N41" s="160"/>
      <c r="O41" s="47"/>
      <c r="P41" s="160"/>
      <c r="Q41" s="160"/>
    </row>
    <row r="42" spans="1:17" s="4" customFormat="1" hidden="1">
      <c r="A42" s="223" t="s">
        <v>20</v>
      </c>
      <c r="B42" s="224" t="s">
        <v>33</v>
      </c>
      <c r="C42" s="225">
        <v>42405</v>
      </c>
      <c r="D42" s="226" t="s">
        <v>16</v>
      </c>
      <c r="E42" s="227">
        <v>354482.12</v>
      </c>
      <c r="F42" s="228">
        <f>E42*2.232</f>
        <v>791204.09184000001</v>
      </c>
      <c r="G42" s="231">
        <v>42502</v>
      </c>
      <c r="H42" s="230"/>
      <c r="I42" s="226"/>
      <c r="J42" s="233"/>
      <c r="K42" s="232">
        <f>54480+50000+100000+100000+5000+40000+5002.12</f>
        <v>354482.12</v>
      </c>
      <c r="L42" s="233"/>
      <c r="M42" s="234">
        <f>E42-K42</f>
        <v>0</v>
      </c>
      <c r="N42" s="328"/>
      <c r="O42" s="47"/>
      <c r="Q42" s="328"/>
    </row>
    <row r="43" spans="1:17" s="6" customFormat="1" hidden="1">
      <c r="A43" s="140" t="s">
        <v>17</v>
      </c>
      <c r="B43" s="141" t="s">
        <v>34</v>
      </c>
      <c r="C43" s="142">
        <v>42412</v>
      </c>
      <c r="D43" s="143" t="s">
        <v>19</v>
      </c>
      <c r="E43" s="144">
        <v>110497.38</v>
      </c>
      <c r="F43" s="145">
        <f>E43*2.00195</f>
        <v>221210.229891</v>
      </c>
      <c r="G43" s="146">
        <v>42543</v>
      </c>
      <c r="H43" s="147"/>
      <c r="I43" s="143"/>
      <c r="J43" s="148"/>
      <c r="K43" s="149">
        <f>58678.54-3945.6+55714.44</f>
        <v>110447.38</v>
      </c>
      <c r="L43" s="148"/>
      <c r="M43" s="150">
        <f t="shared" si="3"/>
        <v>50</v>
      </c>
      <c r="N43" s="160"/>
      <c r="O43" s="7"/>
      <c r="Q43" s="84"/>
    </row>
    <row r="44" spans="1:17" s="4" customFormat="1" hidden="1">
      <c r="A44" s="223" t="s">
        <v>15</v>
      </c>
      <c r="B44" s="224" t="s">
        <v>35</v>
      </c>
      <c r="C44" s="225">
        <v>42412</v>
      </c>
      <c r="D44" s="226" t="s">
        <v>16</v>
      </c>
      <c r="E44" s="227">
        <v>52613.599999999999</v>
      </c>
      <c r="F44" s="228">
        <f>E44*2.24105</f>
        <v>117909.70827999999</v>
      </c>
      <c r="G44" s="229">
        <v>42502</v>
      </c>
      <c r="H44" s="230"/>
      <c r="I44" s="226"/>
      <c r="J44" s="233"/>
      <c r="K44" s="232">
        <v>52563.6</v>
      </c>
      <c r="L44" s="233"/>
      <c r="M44" s="234">
        <f t="shared" si="3"/>
        <v>50</v>
      </c>
      <c r="N44" s="328"/>
      <c r="O44" s="47"/>
      <c r="Q44" s="328"/>
    </row>
    <row r="45" spans="1:17" s="6" customFormat="1" hidden="1">
      <c r="A45" s="140" t="s">
        <v>17</v>
      </c>
      <c r="B45" s="141" t="s">
        <v>36</v>
      </c>
      <c r="C45" s="142">
        <v>42416</v>
      </c>
      <c r="D45" s="143" t="s">
        <v>19</v>
      </c>
      <c r="E45" s="144">
        <v>3945.6</v>
      </c>
      <c r="F45" s="145">
        <f>E45*2.00195</f>
        <v>7898.8939199999995</v>
      </c>
      <c r="G45" s="157">
        <v>42543</v>
      </c>
      <c r="H45" s="147"/>
      <c r="I45" s="143"/>
      <c r="J45" s="148"/>
      <c r="K45" s="149">
        <v>3945.6</v>
      </c>
      <c r="L45" s="148"/>
      <c r="M45" s="150">
        <f t="shared" si="3"/>
        <v>0</v>
      </c>
      <c r="N45" s="160"/>
      <c r="O45" s="7"/>
      <c r="Q45" s="84"/>
    </row>
    <row r="46" spans="1:17" s="4" customFormat="1" hidden="1">
      <c r="A46" s="223" t="s">
        <v>15</v>
      </c>
      <c r="B46" s="224" t="s">
        <v>37</v>
      </c>
      <c r="C46" s="225">
        <v>42422</v>
      </c>
      <c r="D46" s="226" t="s">
        <v>16</v>
      </c>
      <c r="E46" s="227">
        <v>36924.26</v>
      </c>
      <c r="F46" s="228">
        <f>+E46*2.2214</f>
        <v>82023.551164000004</v>
      </c>
      <c r="G46" s="229">
        <f>+C46+90</f>
        <v>42512</v>
      </c>
      <c r="H46" s="230"/>
      <c r="I46" s="226"/>
      <c r="J46" s="233"/>
      <c r="K46" s="232">
        <v>36874.26</v>
      </c>
      <c r="L46" s="233"/>
      <c r="M46" s="234">
        <f t="shared" si="3"/>
        <v>50</v>
      </c>
      <c r="N46" s="328"/>
      <c r="O46" s="47"/>
      <c r="Q46" s="328"/>
    </row>
    <row r="47" spans="1:17" s="5" customFormat="1" hidden="1">
      <c r="A47" s="140" t="s">
        <v>21</v>
      </c>
      <c r="B47" s="141" t="s">
        <v>38</v>
      </c>
      <c r="C47" s="142">
        <v>42423</v>
      </c>
      <c r="D47" s="143" t="s">
        <v>19</v>
      </c>
      <c r="E47" s="144">
        <v>58754.1</v>
      </c>
      <c r="F47" s="145">
        <f>+E47*2.01295</f>
        <v>118269.06559499999</v>
      </c>
      <c r="G47" s="157">
        <f>+C47+90</f>
        <v>42513</v>
      </c>
      <c r="H47" s="147"/>
      <c r="I47" s="143"/>
      <c r="J47" s="148"/>
      <c r="K47" s="149">
        <v>58754.1</v>
      </c>
      <c r="L47" s="148"/>
      <c r="M47" s="150">
        <f t="shared" si="3"/>
        <v>0</v>
      </c>
      <c r="N47" s="160"/>
      <c r="O47" s="47"/>
      <c r="P47" s="269"/>
      <c r="Q47" s="160"/>
    </row>
    <row r="48" spans="1:17" hidden="1">
      <c r="A48" s="223" t="s">
        <v>20</v>
      </c>
      <c r="B48" s="224" t="s">
        <v>40</v>
      </c>
      <c r="C48" s="225">
        <v>42436</v>
      </c>
      <c r="D48" s="226" t="s">
        <v>16</v>
      </c>
      <c r="E48" s="227">
        <v>346818.74</v>
      </c>
      <c r="F48" s="228">
        <f>+E48*2.2428</f>
        <v>777845.07007199991</v>
      </c>
      <c r="G48" s="229">
        <f>+C48+90</f>
        <v>42526</v>
      </c>
      <c r="H48" s="230">
        <v>620000</v>
      </c>
      <c r="I48" s="226"/>
      <c r="J48" s="231">
        <v>42521</v>
      </c>
      <c r="K48" s="232">
        <f>79900-5002.12+25000+25000+25000+15000+80000+40000+31840+9950+20000</f>
        <v>346687.88</v>
      </c>
      <c r="L48" s="233"/>
      <c r="M48" s="234">
        <f t="shared" si="3"/>
        <v>130.85999999998603</v>
      </c>
    </row>
    <row r="49" spans="1:17" s="4" customFormat="1" hidden="1">
      <c r="A49" s="223" t="s">
        <v>15</v>
      </c>
      <c r="B49" s="224" t="s">
        <v>41</v>
      </c>
      <c r="C49" s="225">
        <v>42445</v>
      </c>
      <c r="D49" s="226" t="s">
        <v>16</v>
      </c>
      <c r="E49" s="227">
        <v>56915.18</v>
      </c>
      <c r="F49" s="228">
        <f>+E49*2.2342</f>
        <v>127159.895156</v>
      </c>
      <c r="G49" s="229">
        <f>+C49+90</f>
        <v>42535</v>
      </c>
      <c r="H49" s="230"/>
      <c r="I49" s="226"/>
      <c r="J49" s="233"/>
      <c r="K49" s="232">
        <f>20865.18+36000</f>
        <v>56865.18</v>
      </c>
      <c r="L49" s="233"/>
      <c r="M49" s="234">
        <f t="shared" si="3"/>
        <v>50</v>
      </c>
      <c r="N49" s="328"/>
      <c r="O49" s="47"/>
      <c r="Q49" s="328"/>
    </row>
    <row r="50" spans="1:17" s="4" customFormat="1" hidden="1">
      <c r="A50" s="223" t="s">
        <v>15</v>
      </c>
      <c r="B50" s="224" t="s">
        <v>42</v>
      </c>
      <c r="C50" s="225">
        <v>42460</v>
      </c>
      <c r="D50" s="226" t="s">
        <v>16</v>
      </c>
      <c r="E50" s="227">
        <v>55894.19</v>
      </c>
      <c r="F50" s="228">
        <f>E50*2.25995</f>
        <v>126318.0746905</v>
      </c>
      <c r="G50" s="229">
        <f>+C50+90</f>
        <v>42550</v>
      </c>
      <c r="H50" s="230"/>
      <c r="I50" s="226"/>
      <c r="J50" s="233"/>
      <c r="K50" s="232">
        <f>46844.19-36000+22950+21950</f>
        <v>55744.19</v>
      </c>
      <c r="L50" s="233"/>
      <c r="M50" s="234">
        <f t="shared" si="3"/>
        <v>150</v>
      </c>
      <c r="N50" s="328"/>
      <c r="O50" s="47"/>
      <c r="Q50" s="328"/>
    </row>
    <row r="51" spans="1:17" s="5" customFormat="1" hidden="1">
      <c r="A51" s="140" t="s">
        <v>17</v>
      </c>
      <c r="B51" s="141" t="s">
        <v>43</v>
      </c>
      <c r="C51" s="142">
        <v>42461</v>
      </c>
      <c r="D51" s="143" t="s">
        <v>19</v>
      </c>
      <c r="E51" s="144">
        <v>124293.26</v>
      </c>
      <c r="F51" s="145">
        <f>E51*1.98505</f>
        <v>246728.33576299998</v>
      </c>
      <c r="G51" s="157">
        <v>42585</v>
      </c>
      <c r="H51" s="147"/>
      <c r="I51" s="143"/>
      <c r="J51" s="148"/>
      <c r="K51" s="149">
        <f>60173.9+64059.36</f>
        <v>124233.26000000001</v>
      </c>
      <c r="L51" s="148"/>
      <c r="M51" s="150">
        <f t="shared" si="3"/>
        <v>59.999999999985448</v>
      </c>
      <c r="N51" s="160"/>
      <c r="O51" s="196"/>
      <c r="Q51" s="160"/>
    </row>
    <row r="52" spans="1:17" s="4" customFormat="1" hidden="1">
      <c r="A52" s="223" t="s">
        <v>15</v>
      </c>
      <c r="B52" s="224" t="s">
        <v>79</v>
      </c>
      <c r="C52" s="225">
        <v>42471</v>
      </c>
      <c r="D52" s="226" t="s">
        <v>16</v>
      </c>
      <c r="E52" s="227">
        <v>71366.58</v>
      </c>
      <c r="F52" s="228">
        <f>E52*2.2645</f>
        <v>161609.62041</v>
      </c>
      <c r="G52" s="229">
        <f>+C52+90</f>
        <v>42561</v>
      </c>
      <c r="H52" s="230"/>
      <c r="I52" s="226"/>
      <c r="J52" s="233"/>
      <c r="K52" s="232">
        <v>71316.58</v>
      </c>
      <c r="L52" s="233"/>
      <c r="M52" s="234">
        <f t="shared" si="3"/>
        <v>50</v>
      </c>
      <c r="N52" s="328"/>
      <c r="O52" s="47"/>
      <c r="Q52" s="328"/>
    </row>
    <row r="53" spans="1:17" s="5" customFormat="1" hidden="1">
      <c r="A53" s="140" t="s">
        <v>17</v>
      </c>
      <c r="B53" s="141" t="s">
        <v>82</v>
      </c>
      <c r="C53" s="142">
        <v>42480</v>
      </c>
      <c r="D53" s="143" t="s">
        <v>19</v>
      </c>
      <c r="E53" s="144">
        <v>3720</v>
      </c>
      <c r="F53" s="145">
        <f>+E53*1.99715</f>
        <v>7429.3980000000001</v>
      </c>
      <c r="G53" s="157">
        <v>42603</v>
      </c>
      <c r="H53" s="147"/>
      <c r="I53" s="143"/>
      <c r="J53" s="148"/>
      <c r="K53" s="149">
        <v>3662</v>
      </c>
      <c r="L53" s="148"/>
      <c r="M53" s="150">
        <f t="shared" si="3"/>
        <v>58</v>
      </c>
      <c r="N53" s="160"/>
      <c r="O53" s="196"/>
      <c r="P53" s="259"/>
      <c r="Q53" s="160"/>
    </row>
    <row r="54" spans="1:17" s="5" customFormat="1" hidden="1">
      <c r="A54" s="140" t="s">
        <v>21</v>
      </c>
      <c r="B54" s="141" t="s">
        <v>80</v>
      </c>
      <c r="C54" s="142">
        <v>42480</v>
      </c>
      <c r="D54" s="143" t="s">
        <v>19</v>
      </c>
      <c r="E54" s="144">
        <v>59734.6</v>
      </c>
      <c r="F54" s="145">
        <f>+E54*1.99715</f>
        <v>119298.95638999999</v>
      </c>
      <c r="G54" s="157">
        <v>42580</v>
      </c>
      <c r="H54" s="147"/>
      <c r="I54" s="143"/>
      <c r="J54" s="148"/>
      <c r="K54" s="149">
        <v>59734.6</v>
      </c>
      <c r="L54" s="148"/>
      <c r="M54" s="150">
        <f t="shared" si="3"/>
        <v>0</v>
      </c>
      <c r="N54" s="160"/>
      <c r="O54" s="196"/>
      <c r="P54" s="259"/>
      <c r="Q54" s="160"/>
    </row>
    <row r="55" spans="1:17" s="5" customFormat="1" hidden="1">
      <c r="A55" s="140" t="s">
        <v>17</v>
      </c>
      <c r="B55" s="141" t="s">
        <v>81</v>
      </c>
      <c r="C55" s="142">
        <v>42485</v>
      </c>
      <c r="D55" s="143" t="s">
        <v>19</v>
      </c>
      <c r="E55" s="144">
        <v>190231.2</v>
      </c>
      <c r="F55" s="145">
        <f>+E55*1.99715</f>
        <v>379920.24108000001</v>
      </c>
      <c r="G55" s="157">
        <v>42603</v>
      </c>
      <c r="H55" s="147">
        <v>305000</v>
      </c>
      <c r="I55" s="143"/>
      <c r="J55" s="146">
        <v>42607</v>
      </c>
      <c r="K55" s="149">
        <f>163674-64059.36+90538.6</f>
        <v>190153.24</v>
      </c>
      <c r="L55" s="148"/>
      <c r="M55" s="150">
        <f t="shared" si="3"/>
        <v>77.960000000020955</v>
      </c>
      <c r="N55" s="160"/>
      <c r="O55" s="196"/>
      <c r="P55" s="259"/>
      <c r="Q55" s="160"/>
    </row>
    <row r="56" spans="1:17" s="81" customFormat="1" hidden="1">
      <c r="A56" s="172" t="s">
        <v>21</v>
      </c>
      <c r="B56" s="173" t="s">
        <v>85</v>
      </c>
      <c r="C56" s="174">
        <v>42503</v>
      </c>
      <c r="D56" s="143" t="s">
        <v>19</v>
      </c>
      <c r="E56" s="176">
        <v>60309.599999999999</v>
      </c>
      <c r="F56" s="177">
        <f>E56*2.02365</f>
        <v>122045.52204</v>
      </c>
      <c r="G56" s="268">
        <v>42601</v>
      </c>
      <c r="H56" s="179"/>
      <c r="I56" s="175"/>
      <c r="J56" s="178"/>
      <c r="K56" s="180">
        <v>60309.599999999999</v>
      </c>
      <c r="L56" s="181"/>
      <c r="M56" s="182">
        <f t="shared" si="3"/>
        <v>0</v>
      </c>
      <c r="N56" s="329"/>
      <c r="O56" s="207"/>
      <c r="P56" s="260"/>
      <c r="Q56" s="329"/>
    </row>
    <row r="57" spans="1:17" s="83" customFormat="1" hidden="1">
      <c r="A57" s="172" t="s">
        <v>17</v>
      </c>
      <c r="B57" s="173" t="s">
        <v>86</v>
      </c>
      <c r="C57" s="174">
        <v>42513</v>
      </c>
      <c r="D57" s="143" t="s">
        <v>19</v>
      </c>
      <c r="E57" s="176">
        <v>243352.73</v>
      </c>
      <c r="F57" s="177">
        <f>E57*2.02365</f>
        <v>492460.7520645</v>
      </c>
      <c r="G57" s="268">
        <v>42630</v>
      </c>
      <c r="H57" s="179">
        <v>395000</v>
      </c>
      <c r="I57" s="175"/>
      <c r="J57" s="178">
        <v>42638</v>
      </c>
      <c r="K57" s="180">
        <f>123502.1-2842.8+122644.67</f>
        <v>243303.97</v>
      </c>
      <c r="L57" s="181"/>
      <c r="M57" s="182">
        <f t="shared" si="3"/>
        <v>48.760000000009313</v>
      </c>
      <c r="N57" s="329"/>
      <c r="O57" s="82"/>
      <c r="P57" s="261"/>
      <c r="Q57" s="314"/>
    </row>
    <row r="58" spans="1:17" s="83" customFormat="1" hidden="1">
      <c r="A58" s="172" t="s">
        <v>17</v>
      </c>
      <c r="B58" s="173" t="s">
        <v>87</v>
      </c>
      <c r="C58" s="174">
        <v>42506</v>
      </c>
      <c r="D58" s="143" t="s">
        <v>19</v>
      </c>
      <c r="E58" s="176">
        <v>2902.8</v>
      </c>
      <c r="F58" s="177">
        <f>+E58*2.02365</f>
        <v>5874.2512200000001</v>
      </c>
      <c r="G58" s="268">
        <v>42630</v>
      </c>
      <c r="H58" s="179"/>
      <c r="I58" s="175"/>
      <c r="J58" s="181"/>
      <c r="K58" s="180">
        <f>2902.8-60</f>
        <v>2842.8</v>
      </c>
      <c r="L58" s="181"/>
      <c r="M58" s="182">
        <f t="shared" si="3"/>
        <v>60</v>
      </c>
      <c r="N58" s="329"/>
      <c r="O58" s="82"/>
      <c r="Q58" s="314"/>
    </row>
    <row r="59" spans="1:17" s="70" customFormat="1" hidden="1">
      <c r="A59" s="336" t="s">
        <v>15</v>
      </c>
      <c r="B59" s="337" t="s">
        <v>123</v>
      </c>
      <c r="C59" s="338">
        <v>42515</v>
      </c>
      <c r="D59" s="280" t="s">
        <v>16</v>
      </c>
      <c r="E59" s="339">
        <v>58025.49</v>
      </c>
      <c r="F59" s="340">
        <f>E59*2.28935</f>
        <v>132840.6555315</v>
      </c>
      <c r="G59" s="341">
        <f>+C59+90</f>
        <v>42605</v>
      </c>
      <c r="H59" s="279"/>
      <c r="I59" s="280"/>
      <c r="J59" s="315"/>
      <c r="K59" s="342">
        <f>12985.49+10960+11019+20163.57+2850</f>
        <v>57978.06</v>
      </c>
      <c r="L59" s="315"/>
      <c r="M59" s="343">
        <f t="shared" si="3"/>
        <v>47.430000000000291</v>
      </c>
      <c r="N59" s="313"/>
      <c r="O59" s="212"/>
      <c r="Q59" s="313"/>
    </row>
    <row r="60" spans="1:17" s="81" customFormat="1" hidden="1">
      <c r="A60" s="172" t="s">
        <v>17</v>
      </c>
      <c r="B60" s="173" t="s">
        <v>133</v>
      </c>
      <c r="C60" s="174">
        <v>42522</v>
      </c>
      <c r="D60" s="175" t="s">
        <v>19</v>
      </c>
      <c r="E60" s="176">
        <v>181444.41</v>
      </c>
      <c r="F60" s="177">
        <f>+E60*2.0914</f>
        <v>379472.83907400002</v>
      </c>
      <c r="G60" s="268">
        <v>42647</v>
      </c>
      <c r="H60" s="179"/>
      <c r="I60" s="175"/>
      <c r="J60" s="178"/>
      <c r="K60" s="180">
        <f>90963.81+91051.3-637.2</f>
        <v>181377.90999999997</v>
      </c>
      <c r="L60" s="181"/>
      <c r="M60" s="182">
        <f t="shared" si="3"/>
        <v>66.500000000029104</v>
      </c>
      <c r="N60" s="329"/>
      <c r="O60" s="207"/>
      <c r="Q60" s="329"/>
    </row>
    <row r="61" spans="1:17" s="81" customFormat="1" hidden="1">
      <c r="A61" s="172" t="s">
        <v>17</v>
      </c>
      <c r="B61" s="173" t="s">
        <v>134</v>
      </c>
      <c r="C61" s="174">
        <v>42522</v>
      </c>
      <c r="D61" s="175" t="s">
        <v>19</v>
      </c>
      <c r="E61" s="176">
        <v>637.20000000000005</v>
      </c>
      <c r="F61" s="177">
        <f>+E61*2.0914</f>
        <v>1332.6400800000001</v>
      </c>
      <c r="G61" s="268">
        <v>42647</v>
      </c>
      <c r="H61" s="179"/>
      <c r="I61" s="175"/>
      <c r="J61" s="181"/>
      <c r="K61" s="180">
        <v>637.20000000000005</v>
      </c>
      <c r="L61" s="181"/>
      <c r="M61" s="182">
        <f t="shared" si="3"/>
        <v>0</v>
      </c>
      <c r="N61" s="329"/>
      <c r="O61" s="207"/>
      <c r="Q61" s="329"/>
    </row>
    <row r="62" spans="1:17" s="81" customFormat="1" hidden="1">
      <c r="A62" s="172" t="s">
        <v>15</v>
      </c>
      <c r="B62" s="173" t="s">
        <v>135</v>
      </c>
      <c r="C62" s="174">
        <v>42523</v>
      </c>
      <c r="D62" s="175" t="s">
        <v>19</v>
      </c>
      <c r="E62" s="176">
        <v>32695.26</v>
      </c>
      <c r="F62" s="177">
        <f>+E62*2.1062</f>
        <v>68862.756611999997</v>
      </c>
      <c r="G62" s="268">
        <f>+C62+90</f>
        <v>42613</v>
      </c>
      <c r="H62" s="179"/>
      <c r="I62" s="175"/>
      <c r="J62" s="181"/>
      <c r="K62" s="180">
        <v>32614.76</v>
      </c>
      <c r="L62" s="181"/>
      <c r="M62" s="182">
        <f t="shared" si="3"/>
        <v>80.5</v>
      </c>
      <c r="N62" s="329"/>
      <c r="O62" s="207"/>
      <c r="Q62" s="329"/>
    </row>
    <row r="63" spans="1:17" s="70" customFormat="1" hidden="1">
      <c r="A63" s="336" t="s">
        <v>15</v>
      </c>
      <c r="B63" s="337" t="s">
        <v>136</v>
      </c>
      <c r="C63" s="338">
        <v>42527</v>
      </c>
      <c r="D63" s="280" t="s">
        <v>16</v>
      </c>
      <c r="E63" s="339">
        <v>33241.94</v>
      </c>
      <c r="F63" s="340">
        <f>+E63*2.34895</f>
        <v>78083.654963000008</v>
      </c>
      <c r="G63" s="341">
        <f>+C63+90</f>
        <v>42617</v>
      </c>
      <c r="H63" s="179"/>
      <c r="I63" s="280"/>
      <c r="J63" s="315"/>
      <c r="K63" s="342">
        <f>813.45+12225+20000</f>
        <v>33038.449999999997</v>
      </c>
      <c r="L63" s="315"/>
      <c r="M63" s="343">
        <f t="shared" si="3"/>
        <v>203.49000000000524</v>
      </c>
      <c r="N63" s="313"/>
      <c r="O63" s="212"/>
      <c r="Q63" s="313"/>
    </row>
    <row r="64" spans="1:17" s="71" customFormat="1" hidden="1">
      <c r="A64" s="336" t="s">
        <v>20</v>
      </c>
      <c r="B64" s="337" t="s">
        <v>130</v>
      </c>
      <c r="C64" s="338">
        <v>42528</v>
      </c>
      <c r="D64" s="280" t="s">
        <v>16</v>
      </c>
      <c r="E64" s="339">
        <v>249442.34</v>
      </c>
      <c r="F64" s="340">
        <f>+E64*2.3642</f>
        <v>589731.58022799995</v>
      </c>
      <c r="G64" s="341">
        <f>+C64+90</f>
        <v>42618</v>
      </c>
      <c r="H64" s="179"/>
      <c r="I64" s="280"/>
      <c r="J64" s="315"/>
      <c r="K64" s="342">
        <f>60000+39960+39950+25000+10000+25000+49500</f>
        <v>249410</v>
      </c>
      <c r="L64" s="315"/>
      <c r="M64" s="343">
        <f t="shared" si="3"/>
        <v>32.339999999996508</v>
      </c>
      <c r="N64" s="313"/>
      <c r="O64" s="59"/>
      <c r="Q64" s="675"/>
    </row>
    <row r="65" spans="1:17" s="71" customFormat="1" hidden="1">
      <c r="A65" s="336" t="s">
        <v>20</v>
      </c>
      <c r="B65" s="337" t="s">
        <v>143</v>
      </c>
      <c r="C65" s="338">
        <v>42552</v>
      </c>
      <c r="D65" s="280" t="s">
        <v>16</v>
      </c>
      <c r="E65" s="339">
        <v>247327.72</v>
      </c>
      <c r="F65" s="340">
        <f>+E65*2.43635</f>
        <v>602576.89062199998</v>
      </c>
      <c r="G65" s="341">
        <f>+C65+90</f>
        <v>42642</v>
      </c>
      <c r="H65" s="279">
        <v>485000</v>
      </c>
      <c r="I65" s="280"/>
      <c r="J65" s="281">
        <v>42648</v>
      </c>
      <c r="K65" s="342">
        <f>64922.5-49500+85000+59957+79548.68+7399.54</f>
        <v>247327.72</v>
      </c>
      <c r="L65" s="315"/>
      <c r="M65" s="343">
        <f t="shared" si="3"/>
        <v>0</v>
      </c>
      <c r="N65" s="313"/>
      <c r="O65" s="59"/>
      <c r="Q65" s="675"/>
    </row>
    <row r="66" spans="1:17" s="83" customFormat="1" hidden="1">
      <c r="A66" s="172" t="s">
        <v>17</v>
      </c>
      <c r="B66" s="173" t="s">
        <v>140</v>
      </c>
      <c r="C66" s="174">
        <v>42565</v>
      </c>
      <c r="D66" s="175" t="s">
        <v>19</v>
      </c>
      <c r="E66" s="176">
        <v>182006.54</v>
      </c>
      <c r="F66" s="177">
        <f>E66*2.20895</f>
        <v>402043.34653300006</v>
      </c>
      <c r="G66" s="268">
        <v>42698</v>
      </c>
      <c r="H66" s="179">
        <v>320000</v>
      </c>
      <c r="I66" s="175"/>
      <c r="J66" s="178">
        <v>42689</v>
      </c>
      <c r="K66" s="180">
        <f>72601.19+90445.6+18809.75</f>
        <v>181856.54</v>
      </c>
      <c r="L66" s="181"/>
      <c r="M66" s="182">
        <f t="shared" si="3"/>
        <v>150</v>
      </c>
      <c r="N66" s="329"/>
      <c r="O66" s="82"/>
      <c r="Q66" s="314"/>
    </row>
    <row r="67" spans="1:17" s="70" customFormat="1" hidden="1">
      <c r="A67" s="336" t="s">
        <v>15</v>
      </c>
      <c r="B67" s="337" t="s">
        <v>141</v>
      </c>
      <c r="C67" s="338">
        <v>42583</v>
      </c>
      <c r="D67" s="280" t="s">
        <v>16</v>
      </c>
      <c r="E67" s="339">
        <v>47822.32</v>
      </c>
      <c r="F67" s="340">
        <f>+E67*2.45605</f>
        <v>117454.00903599999</v>
      </c>
      <c r="G67" s="341">
        <f>+C67+90</f>
        <v>42673</v>
      </c>
      <c r="H67" s="279"/>
      <c r="I67" s="280"/>
      <c r="J67" s="315"/>
      <c r="K67" s="342">
        <f>10994.42+15629.1+21150</f>
        <v>47773.520000000004</v>
      </c>
      <c r="L67" s="315"/>
      <c r="M67" s="343">
        <f t="shared" si="3"/>
        <v>48.799999999995634</v>
      </c>
      <c r="N67" s="313"/>
      <c r="O67" s="212"/>
      <c r="P67" s="313"/>
      <c r="Q67" s="313"/>
    </row>
    <row r="68" spans="1:17" s="71" customFormat="1" hidden="1">
      <c r="A68" s="336" t="s">
        <v>20</v>
      </c>
      <c r="B68" s="337" t="s">
        <v>142</v>
      </c>
      <c r="C68" s="338">
        <v>42585</v>
      </c>
      <c r="D68" s="280" t="s">
        <v>16</v>
      </c>
      <c r="E68" s="339">
        <v>256710.39999999999</v>
      </c>
      <c r="F68" s="340">
        <f>+E68*2.45645</f>
        <v>630596.2620799999</v>
      </c>
      <c r="G68" s="341">
        <f>+C68+90</f>
        <v>42675</v>
      </c>
      <c r="H68" s="279"/>
      <c r="I68" s="280"/>
      <c r="J68" s="315"/>
      <c r="K68" s="342">
        <f>39965-7399.54+99975+99955+24214.94</f>
        <v>256710.39999999999</v>
      </c>
      <c r="L68" s="315"/>
      <c r="M68" s="343">
        <f t="shared" si="3"/>
        <v>0</v>
      </c>
      <c r="N68" s="313"/>
      <c r="O68" s="59"/>
      <c r="Q68" s="675"/>
    </row>
    <row r="69" spans="1:17" s="60" customFormat="1" hidden="1">
      <c r="A69" s="172" t="s">
        <v>21</v>
      </c>
      <c r="B69" s="173" t="s">
        <v>147</v>
      </c>
      <c r="C69" s="174">
        <v>42594</v>
      </c>
      <c r="D69" s="143" t="s">
        <v>19</v>
      </c>
      <c r="E69" s="176">
        <v>61609.599999999999</v>
      </c>
      <c r="F69" s="177">
        <f>+E69*2.20485</f>
        <v>135839.92655999999</v>
      </c>
      <c r="G69" s="268">
        <v>42692</v>
      </c>
      <c r="H69" s="279"/>
      <c r="I69" s="280"/>
      <c r="J69" s="281"/>
      <c r="K69" s="180">
        <v>61609.599999999999</v>
      </c>
      <c r="L69" s="181"/>
      <c r="M69" s="182">
        <f t="shared" ref="M69:M131" si="4">E69-K69</f>
        <v>0</v>
      </c>
      <c r="N69" s="291"/>
      <c r="O69" s="237"/>
      <c r="Q69" s="291"/>
    </row>
    <row r="70" spans="1:17" s="83" customFormat="1" hidden="1">
      <c r="A70" s="172" t="s">
        <v>17</v>
      </c>
      <c r="B70" s="173" t="s">
        <v>145</v>
      </c>
      <c r="C70" s="174">
        <v>42599</v>
      </c>
      <c r="D70" s="175" t="s">
        <v>19</v>
      </c>
      <c r="E70" s="176">
        <v>201518.23</v>
      </c>
      <c r="F70" s="177">
        <f>E70*2.18885</f>
        <v>441093.17773550004</v>
      </c>
      <c r="G70" s="268">
        <v>42722</v>
      </c>
      <c r="H70" s="279"/>
      <c r="I70" s="280"/>
      <c r="J70" s="315"/>
      <c r="K70" s="180">
        <f>90429.6+110873.72</f>
        <v>201303.32</v>
      </c>
      <c r="L70" s="181"/>
      <c r="M70" s="182">
        <f t="shared" si="4"/>
        <v>214.91000000000349</v>
      </c>
      <c r="N70" s="329"/>
      <c r="O70" s="82"/>
      <c r="P70" s="314"/>
      <c r="Q70" s="314"/>
    </row>
    <row r="71" spans="1:17" s="71" customFormat="1" hidden="1">
      <c r="A71" s="336" t="s">
        <v>20</v>
      </c>
      <c r="B71" s="337" t="s">
        <v>144</v>
      </c>
      <c r="C71" s="338">
        <v>42599</v>
      </c>
      <c r="D71" s="280" t="s">
        <v>16</v>
      </c>
      <c r="E71" s="339">
        <v>176779.1</v>
      </c>
      <c r="F71" s="340">
        <f>E71*2.4649</f>
        <v>435742.80359000002</v>
      </c>
      <c r="G71" s="341">
        <f>+C71+90</f>
        <v>42689</v>
      </c>
      <c r="H71" s="279"/>
      <c r="I71" s="280"/>
      <c r="J71" s="315"/>
      <c r="K71" s="342">
        <f>50000-24214.94+59950+24965+66079.04</f>
        <v>176779.09999999998</v>
      </c>
      <c r="L71" s="315"/>
      <c r="M71" s="343">
        <f t="shared" si="4"/>
        <v>0</v>
      </c>
      <c r="N71" s="313"/>
      <c r="O71" s="59"/>
      <c r="Q71" s="675"/>
    </row>
    <row r="72" spans="1:17" s="71" customFormat="1" hidden="1">
      <c r="A72" s="336" t="s">
        <v>20</v>
      </c>
      <c r="B72" s="337" t="s">
        <v>146</v>
      </c>
      <c r="C72" s="338">
        <v>42606</v>
      </c>
      <c r="D72" s="280" t="s">
        <v>16</v>
      </c>
      <c r="E72" s="339">
        <v>182078.8</v>
      </c>
      <c r="F72" s="340">
        <f>+E72*2.4651</f>
        <v>448842.44987999997</v>
      </c>
      <c r="G72" s="341">
        <f>+C72+90</f>
        <v>42696</v>
      </c>
      <c r="H72" s="279"/>
      <c r="I72" s="280"/>
      <c r="J72" s="315"/>
      <c r="K72" s="342">
        <f>86970-66079.04+44970+99975+16242.84</f>
        <v>182078.80000000002</v>
      </c>
      <c r="L72" s="315"/>
      <c r="M72" s="343">
        <f t="shared" si="4"/>
        <v>0</v>
      </c>
      <c r="N72" s="313"/>
      <c r="O72" s="59"/>
      <c r="Q72" s="675"/>
    </row>
    <row r="73" spans="1:17" s="83" customFormat="1" hidden="1">
      <c r="A73" s="172" t="s">
        <v>17</v>
      </c>
      <c r="B73" s="173" t="s">
        <v>148</v>
      </c>
      <c r="C73" s="174">
        <v>42619</v>
      </c>
      <c r="D73" s="175" t="s">
        <v>19</v>
      </c>
      <c r="E73" s="176">
        <v>201819.58</v>
      </c>
      <c r="F73" s="177">
        <f>+E73*2.19925</f>
        <v>443851.71131500002</v>
      </c>
      <c r="G73" s="268">
        <f>+C73+120</f>
        <v>42739</v>
      </c>
      <c r="H73" s="279"/>
      <c r="I73" s="280"/>
      <c r="J73" s="315"/>
      <c r="K73" s="180">
        <f>90445.6+111210.5</f>
        <v>201656.1</v>
      </c>
      <c r="L73" s="181"/>
      <c r="M73" s="182">
        <f t="shared" si="4"/>
        <v>163.47999999998137</v>
      </c>
      <c r="N73" s="329"/>
      <c r="O73" s="460"/>
      <c r="Q73" s="314"/>
    </row>
    <row r="74" spans="1:17" s="71" customFormat="1" hidden="1">
      <c r="A74" s="336" t="s">
        <v>20</v>
      </c>
      <c r="B74" s="337" t="s">
        <v>149</v>
      </c>
      <c r="C74" s="338">
        <v>42619</v>
      </c>
      <c r="D74" s="280" t="s">
        <v>16</v>
      </c>
      <c r="E74" s="339">
        <v>93763.1</v>
      </c>
      <c r="F74" s="340">
        <f>+E74*2.45675</f>
        <v>230352.49592500002</v>
      </c>
      <c r="G74" s="341">
        <f>+C74+90</f>
        <v>42709</v>
      </c>
      <c r="H74" s="279"/>
      <c r="I74" s="280"/>
      <c r="J74" s="315"/>
      <c r="K74" s="342">
        <f>49970-16242.84+60035.94</f>
        <v>93763.1</v>
      </c>
      <c r="L74" s="315"/>
      <c r="M74" s="343">
        <f t="shared" si="4"/>
        <v>0</v>
      </c>
      <c r="N74" s="313"/>
      <c r="O74" s="59"/>
      <c r="Q74" s="675"/>
    </row>
    <row r="75" spans="1:17" s="71" customFormat="1" hidden="1">
      <c r="A75" s="336" t="s">
        <v>20</v>
      </c>
      <c r="B75" s="337" t="s">
        <v>150</v>
      </c>
      <c r="C75" s="338">
        <v>42634</v>
      </c>
      <c r="D75" s="280" t="s">
        <v>9</v>
      </c>
      <c r="E75" s="339">
        <v>490473.728</v>
      </c>
      <c r="F75" s="340">
        <f>+E75</f>
        <v>490473.728</v>
      </c>
      <c r="G75" s="341">
        <f>+C75+90</f>
        <v>42724</v>
      </c>
      <c r="H75" s="279">
        <v>390000</v>
      </c>
      <c r="I75" s="280"/>
      <c r="J75" s="281">
        <v>42719</v>
      </c>
      <c r="K75" s="342">
        <v>483301.39899999998</v>
      </c>
      <c r="L75" s="315"/>
      <c r="M75" s="343">
        <f t="shared" si="4"/>
        <v>7172.329000000027</v>
      </c>
      <c r="N75" s="313"/>
      <c r="O75" s="59"/>
      <c r="Q75" s="675"/>
    </row>
    <row r="76" spans="1:17" s="83" customFormat="1" hidden="1">
      <c r="A76" s="172" t="s">
        <v>17</v>
      </c>
      <c r="B76" s="173" t="s">
        <v>153</v>
      </c>
      <c r="C76" s="174">
        <v>42646</v>
      </c>
      <c r="D76" s="175" t="s">
        <v>19</v>
      </c>
      <c r="E76" s="176">
        <v>206062.8</v>
      </c>
      <c r="F76" s="177">
        <f>+E76*2.1936</f>
        <v>452019.35807999998</v>
      </c>
      <c r="G76" s="268">
        <f>+C76+120</f>
        <v>42766</v>
      </c>
      <c r="H76" s="179"/>
      <c r="I76" s="175"/>
      <c r="J76" s="178"/>
      <c r="K76" s="180">
        <f>90445.6+62781.5+52565.5</f>
        <v>205792.6</v>
      </c>
      <c r="L76" s="181"/>
      <c r="M76" s="182">
        <f t="shared" si="4"/>
        <v>270.19999999998254</v>
      </c>
      <c r="N76" s="329"/>
      <c r="O76" s="82"/>
      <c r="Q76" s="314"/>
    </row>
    <row r="77" spans="1:17" s="71" customFormat="1" hidden="1">
      <c r="A77" s="336" t="s">
        <v>20</v>
      </c>
      <c r="B77" s="337" t="s">
        <v>152</v>
      </c>
      <c r="C77" s="338">
        <v>42647</v>
      </c>
      <c r="D77" s="280" t="s">
        <v>16</v>
      </c>
      <c r="E77" s="339">
        <v>90619.199999999997</v>
      </c>
      <c r="F77" s="340">
        <f>+E77*2.4659</f>
        <v>223457.88527999999</v>
      </c>
      <c r="G77" s="341">
        <f>+C77+90</f>
        <v>42737</v>
      </c>
      <c r="H77" s="279"/>
      <c r="I77" s="280"/>
      <c r="J77" s="281"/>
      <c r="K77" s="342">
        <f>99832.71-60035.94+50800</f>
        <v>90596.77</v>
      </c>
      <c r="L77" s="315"/>
      <c r="M77" s="343">
        <f t="shared" si="4"/>
        <v>22.429999999993015</v>
      </c>
      <c r="N77" s="313"/>
      <c r="O77" s="59"/>
      <c r="Q77" s="675"/>
    </row>
    <row r="78" spans="1:17" s="83" customFormat="1" hidden="1">
      <c r="A78" s="172" t="s">
        <v>17</v>
      </c>
      <c r="B78" s="173" t="s">
        <v>154</v>
      </c>
      <c r="C78" s="174">
        <v>42661</v>
      </c>
      <c r="D78" s="175" t="s">
        <v>19</v>
      </c>
      <c r="E78" s="176">
        <v>137375.20000000001</v>
      </c>
      <c r="F78" s="177">
        <f>E78*2.23355</f>
        <v>306834.37796000007</v>
      </c>
      <c r="G78" s="268">
        <f>+C78+120</f>
        <v>42781</v>
      </c>
      <c r="H78" s="179"/>
      <c r="I78" s="175"/>
      <c r="J78" s="178"/>
      <c r="K78" s="180">
        <f>60289.4+76922.5</f>
        <v>137211.9</v>
      </c>
      <c r="L78" s="181"/>
      <c r="M78" s="182">
        <f t="shared" si="4"/>
        <v>163.30000000001746</v>
      </c>
      <c r="N78" s="329"/>
      <c r="O78" s="82"/>
      <c r="Q78" s="314"/>
    </row>
    <row r="79" spans="1:17" s="71" customFormat="1" hidden="1">
      <c r="A79" s="336" t="s">
        <v>20</v>
      </c>
      <c r="B79" s="337" t="s">
        <v>155</v>
      </c>
      <c r="C79" s="338">
        <v>42667</v>
      </c>
      <c r="D79" s="280" t="s">
        <v>16</v>
      </c>
      <c r="E79" s="339">
        <v>275267.21999999997</v>
      </c>
      <c r="F79" s="340">
        <f>E79*2.4408</f>
        <v>671872.23057599994</v>
      </c>
      <c r="G79" s="341">
        <f>+C79+90</f>
        <v>42757</v>
      </c>
      <c r="H79" s="279"/>
      <c r="I79" s="280"/>
      <c r="J79" s="281"/>
      <c r="K79" s="342">
        <f>86880.37-50800+49880.54+99832.65+50000+39400</f>
        <v>275193.56</v>
      </c>
      <c r="L79" s="315"/>
      <c r="M79" s="343">
        <f t="shared" si="4"/>
        <v>73.659999999974389</v>
      </c>
      <c r="N79" s="313"/>
      <c r="O79" s="59"/>
      <c r="Q79" s="675"/>
    </row>
    <row r="80" spans="1:17" s="71" customFormat="1" hidden="1">
      <c r="A80" s="336" t="s">
        <v>20</v>
      </c>
      <c r="B80" s="337" t="s">
        <v>157</v>
      </c>
      <c r="C80" s="338">
        <v>42674</v>
      </c>
      <c r="D80" s="280" t="s">
        <v>16</v>
      </c>
      <c r="E80" s="339">
        <v>267067.84999999998</v>
      </c>
      <c r="F80" s="340">
        <f>E80*2.45085</f>
        <v>654543.24017249991</v>
      </c>
      <c r="G80" s="341">
        <f>C80+90</f>
        <v>42764</v>
      </c>
      <c r="H80" s="279"/>
      <c r="I80" s="280"/>
      <c r="J80" s="281"/>
      <c r="K80" s="342">
        <f>11960+49900+24900+89900+79950+10400</f>
        <v>267010</v>
      </c>
      <c r="L80" s="315"/>
      <c r="M80" s="343">
        <f t="shared" si="4"/>
        <v>57.849999999976717</v>
      </c>
      <c r="N80" s="313"/>
      <c r="O80" s="59"/>
      <c r="Q80" s="675"/>
    </row>
    <row r="81" spans="1:17" s="83" customFormat="1" hidden="1">
      <c r="A81" s="172" t="s">
        <v>21</v>
      </c>
      <c r="B81" s="173" t="s">
        <v>158</v>
      </c>
      <c r="C81" s="174">
        <v>42682</v>
      </c>
      <c r="D81" s="175" t="s">
        <v>19</v>
      </c>
      <c r="E81" s="176">
        <v>61851.199999999997</v>
      </c>
      <c r="F81" s="177">
        <f>+E81*2.22055</f>
        <v>137343.68215999997</v>
      </c>
      <c r="G81" s="268">
        <f>+C81+90</f>
        <v>42772</v>
      </c>
      <c r="H81" s="179"/>
      <c r="I81" s="175"/>
      <c r="J81" s="178"/>
      <c r="K81" s="180">
        <v>61851.199999999997</v>
      </c>
      <c r="L81" s="181"/>
      <c r="M81" s="182">
        <f t="shared" si="4"/>
        <v>0</v>
      </c>
      <c r="N81" s="329"/>
      <c r="O81" s="82"/>
      <c r="Q81" s="314"/>
    </row>
    <row r="82" spans="1:17" s="71" customFormat="1" hidden="1">
      <c r="A82" s="336" t="s">
        <v>15</v>
      </c>
      <c r="B82" s="337" t="s">
        <v>159</v>
      </c>
      <c r="C82" s="338">
        <v>42688</v>
      </c>
      <c r="D82" s="280" t="s">
        <v>16</v>
      </c>
      <c r="E82" s="339">
        <v>63212.1</v>
      </c>
      <c r="F82" s="340">
        <f>+E82*2.43455</f>
        <v>153893.01805500002</v>
      </c>
      <c r="G82" s="341">
        <f>+C82+60</f>
        <v>42748</v>
      </c>
      <c r="H82" s="279"/>
      <c r="I82" s="280"/>
      <c r="J82" s="281"/>
      <c r="K82" s="342">
        <v>63200</v>
      </c>
      <c r="L82" s="315"/>
      <c r="M82" s="343">
        <f t="shared" si="4"/>
        <v>12.099999999998545</v>
      </c>
      <c r="N82" s="313"/>
      <c r="O82" s="59"/>
      <c r="Q82" s="675"/>
    </row>
    <row r="83" spans="1:17" s="83" customFormat="1" hidden="1">
      <c r="A83" s="172" t="s">
        <v>17</v>
      </c>
      <c r="B83" s="173" t="s">
        <v>160</v>
      </c>
      <c r="C83" s="174">
        <v>42695</v>
      </c>
      <c r="D83" s="175" t="s">
        <v>19</v>
      </c>
      <c r="E83" s="176">
        <v>218812.7</v>
      </c>
      <c r="F83" s="177">
        <f>+E83*2.2844</f>
        <v>499855.73188000009</v>
      </c>
      <c r="G83" s="268">
        <f>+C83+120</f>
        <v>42815</v>
      </c>
      <c r="H83" s="179">
        <v>400000</v>
      </c>
      <c r="I83" s="175"/>
      <c r="J83" s="178">
        <v>42819</v>
      </c>
      <c r="K83" s="180">
        <f>90505.8+128142.5</f>
        <v>218648.3</v>
      </c>
      <c r="L83" s="181"/>
      <c r="M83" s="182">
        <f t="shared" si="4"/>
        <v>164.40000000002328</v>
      </c>
      <c r="N83" s="329"/>
      <c r="O83" s="312"/>
      <c r="Q83" s="314"/>
    </row>
    <row r="84" spans="1:17" s="83" customFormat="1" hidden="1">
      <c r="A84" s="197" t="s">
        <v>21</v>
      </c>
      <c r="B84" s="198" t="s">
        <v>162</v>
      </c>
      <c r="C84" s="199">
        <v>42703</v>
      </c>
      <c r="D84" s="204" t="s">
        <v>19</v>
      </c>
      <c r="E84" s="200">
        <v>60082</v>
      </c>
      <c r="F84" s="201">
        <f>+E84*2.2879</f>
        <v>137461.6078</v>
      </c>
      <c r="G84" s="202">
        <f>+C84+90</f>
        <v>42793</v>
      </c>
      <c r="H84" s="203"/>
      <c r="I84" s="204"/>
      <c r="J84" s="308"/>
      <c r="K84" s="205"/>
      <c r="L84" s="206"/>
      <c r="M84" s="264">
        <f t="shared" si="4"/>
        <v>60082</v>
      </c>
      <c r="N84" s="329"/>
      <c r="O84" s="82"/>
      <c r="Q84" s="314"/>
    </row>
    <row r="85" spans="1:17" s="71" customFormat="1" hidden="1">
      <c r="A85" s="336" t="s">
        <v>20</v>
      </c>
      <c r="B85" s="337" t="s">
        <v>166</v>
      </c>
      <c r="C85" s="338">
        <v>42714</v>
      </c>
      <c r="D85" s="280" t="s">
        <v>16</v>
      </c>
      <c r="E85" s="339">
        <v>189405.85</v>
      </c>
      <c r="F85" s="340">
        <f>+E85*2.42685</f>
        <v>459659.58707250003</v>
      </c>
      <c r="G85" s="341">
        <f>+C85+90</f>
        <v>42804</v>
      </c>
      <c r="H85" s="279"/>
      <c r="I85" s="280"/>
      <c r="J85" s="281"/>
      <c r="K85" s="342">
        <f>11585+24960+59900+21930+14930+27960+28100</f>
        <v>189365</v>
      </c>
      <c r="L85" s="315"/>
      <c r="M85" s="343">
        <f t="shared" si="4"/>
        <v>40.850000000005821</v>
      </c>
      <c r="N85" s="313"/>
      <c r="O85" s="59"/>
      <c r="Q85" s="675"/>
    </row>
    <row r="86" spans="1:17" s="71" customFormat="1" hidden="1">
      <c r="A86" s="336" t="s">
        <v>20</v>
      </c>
      <c r="B86" s="337" t="s">
        <v>167</v>
      </c>
      <c r="C86" s="338">
        <v>42731</v>
      </c>
      <c r="D86" s="280" t="s">
        <v>16</v>
      </c>
      <c r="E86" s="339">
        <v>288116.08</v>
      </c>
      <c r="F86" s="340">
        <f>+E86*2.41755</f>
        <v>696535.02920400002</v>
      </c>
      <c r="G86" s="341">
        <f>+C86+60</f>
        <v>42791</v>
      </c>
      <c r="H86" s="279"/>
      <c r="I86" s="280"/>
      <c r="J86" s="281"/>
      <c r="K86" s="342">
        <f>31982-28100+27930+26000+14982+21955+40955+45000+51000+39900+16500</f>
        <v>288104</v>
      </c>
      <c r="L86" s="315"/>
      <c r="M86" s="343">
        <f t="shared" si="4"/>
        <v>12.080000000016298</v>
      </c>
      <c r="N86" s="313"/>
      <c r="O86" s="59"/>
      <c r="Q86" s="675"/>
    </row>
    <row r="87" spans="1:17" s="83" customFormat="1" hidden="1">
      <c r="A87" s="172" t="s">
        <v>17</v>
      </c>
      <c r="B87" s="173" t="s">
        <v>173</v>
      </c>
      <c r="C87" s="174">
        <v>42733</v>
      </c>
      <c r="D87" s="175" t="s">
        <v>19</v>
      </c>
      <c r="E87" s="176">
        <v>145787.49</v>
      </c>
      <c r="F87" s="177">
        <f>+E87*2.31175</f>
        <v>337024.23000749998</v>
      </c>
      <c r="G87" s="268">
        <f>+C87+120</f>
        <v>42853</v>
      </c>
      <c r="H87" s="179"/>
      <c r="I87" s="175"/>
      <c r="J87" s="178"/>
      <c r="K87" s="180">
        <f>60280.4+85392</f>
        <v>145672.4</v>
      </c>
      <c r="L87" s="181"/>
      <c r="M87" s="182">
        <f t="shared" si="4"/>
        <v>115.08999999999651</v>
      </c>
      <c r="N87" s="329"/>
      <c r="O87" s="82"/>
      <c r="Q87" s="314"/>
    </row>
    <row r="88" spans="1:17" s="71" customFormat="1" hidden="1">
      <c r="A88" s="336" t="s">
        <v>20</v>
      </c>
      <c r="B88" s="337" t="s">
        <v>175</v>
      </c>
      <c r="C88" s="338">
        <v>42753</v>
      </c>
      <c r="D88" s="280" t="s">
        <v>16</v>
      </c>
      <c r="E88" s="339">
        <v>288576.96000000002</v>
      </c>
      <c r="F88" s="340">
        <f>+E88*2.42535</f>
        <v>699900.12993599998</v>
      </c>
      <c r="G88" s="341">
        <f>+C88+60</f>
        <v>42813</v>
      </c>
      <c r="H88" s="279"/>
      <c r="I88" s="280"/>
      <c r="J88" s="281"/>
      <c r="K88" s="342">
        <f>34000-16500+40000+35000+50500+10000+74500+54500+6500</f>
        <v>288500</v>
      </c>
      <c r="L88" s="315"/>
      <c r="M88" s="343">
        <f t="shared" si="4"/>
        <v>76.960000000020955</v>
      </c>
      <c r="N88" s="313"/>
      <c r="O88" s="59"/>
      <c r="Q88" s="675"/>
    </row>
    <row r="89" spans="1:17" s="71" customFormat="1" hidden="1">
      <c r="A89" s="336" t="s">
        <v>20</v>
      </c>
      <c r="B89" s="337" t="s">
        <v>176</v>
      </c>
      <c r="C89" s="338">
        <v>42772</v>
      </c>
      <c r="D89" s="280" t="s">
        <v>16</v>
      </c>
      <c r="E89" s="339">
        <v>90850.1</v>
      </c>
      <c r="F89" s="340">
        <f>+E89*2.4309</f>
        <v>220847.50808999999</v>
      </c>
      <c r="G89" s="341">
        <f>+C89+60</f>
        <v>42832</v>
      </c>
      <c r="H89" s="279"/>
      <c r="I89" s="280"/>
      <c r="J89" s="281"/>
      <c r="K89" s="342">
        <f>24600-6500+72500</f>
        <v>90600</v>
      </c>
      <c r="L89" s="315"/>
      <c r="M89" s="343">
        <f t="shared" si="4"/>
        <v>250.10000000000582</v>
      </c>
      <c r="N89" s="313"/>
      <c r="O89" s="59"/>
      <c r="P89" s="677"/>
      <c r="Q89" s="675"/>
    </row>
    <row r="90" spans="1:17" s="83" customFormat="1" hidden="1">
      <c r="A90" s="172" t="s">
        <v>17</v>
      </c>
      <c r="B90" s="173" t="s">
        <v>179</v>
      </c>
      <c r="C90" s="174">
        <v>42786</v>
      </c>
      <c r="D90" s="175" t="s">
        <v>19</v>
      </c>
      <c r="E90" s="176">
        <v>152438.76999999999</v>
      </c>
      <c r="F90" s="177">
        <f>+E90*2.2847</f>
        <v>348276.85781899997</v>
      </c>
      <c r="G90" s="268">
        <f>+C90+120</f>
        <v>42906</v>
      </c>
      <c r="H90" s="179"/>
      <c r="I90" s="175"/>
      <c r="J90" s="178"/>
      <c r="K90" s="180">
        <f>60270.4+91998.5</f>
        <v>152268.9</v>
      </c>
      <c r="L90" s="181"/>
      <c r="M90" s="182">
        <f t="shared" si="4"/>
        <v>169.86999999999534</v>
      </c>
      <c r="N90" s="329"/>
      <c r="O90" s="82"/>
      <c r="P90" s="894"/>
      <c r="Q90" s="675"/>
    </row>
    <row r="91" spans="1:17" s="71" customFormat="1" hidden="1">
      <c r="A91" s="336" t="s">
        <v>20</v>
      </c>
      <c r="B91" s="337" t="s">
        <v>182</v>
      </c>
      <c r="C91" s="338">
        <v>42786</v>
      </c>
      <c r="D91" s="280" t="s">
        <v>16</v>
      </c>
      <c r="E91" s="339">
        <v>103380.36</v>
      </c>
      <c r="F91" s="340">
        <f>+E91*2.41935</f>
        <v>250113.27396600001</v>
      </c>
      <c r="G91" s="341">
        <f>+C91+60</f>
        <v>42846</v>
      </c>
      <c r="H91" s="179"/>
      <c r="I91" s="280"/>
      <c r="J91" s="281"/>
      <c r="K91" s="342">
        <f>44000+59200</f>
        <v>103200</v>
      </c>
      <c r="L91" s="315"/>
      <c r="M91" s="343">
        <f t="shared" si="4"/>
        <v>180.36000000000058</v>
      </c>
      <c r="N91" s="313"/>
      <c r="O91" s="59"/>
      <c r="P91" s="677"/>
      <c r="Q91" s="675"/>
    </row>
    <row r="92" spans="1:17" s="83" customFormat="1" hidden="1">
      <c r="A92" s="172" t="s">
        <v>17</v>
      </c>
      <c r="B92" s="173" t="s">
        <v>199</v>
      </c>
      <c r="C92" s="174">
        <v>42827</v>
      </c>
      <c r="D92" s="175" t="s">
        <v>19</v>
      </c>
      <c r="E92" s="176">
        <v>153807</v>
      </c>
      <c r="F92" s="177">
        <f>+E92*2.25845</f>
        <v>347365.41914999997</v>
      </c>
      <c r="G92" s="268">
        <f>+C92+120</f>
        <v>42947</v>
      </c>
      <c r="H92" s="179"/>
      <c r="I92" s="175"/>
      <c r="J92" s="178"/>
      <c r="K92" s="180">
        <f>60269.4+93352.5</f>
        <v>153621.9</v>
      </c>
      <c r="L92" s="181"/>
      <c r="M92" s="182">
        <f t="shared" si="4"/>
        <v>185.10000000000582</v>
      </c>
      <c r="N92" s="329"/>
      <c r="O92" s="82"/>
      <c r="P92" s="894"/>
      <c r="Q92" s="675"/>
    </row>
    <row r="93" spans="1:17" s="71" customFormat="1" hidden="1">
      <c r="A93" s="336" t="s">
        <v>20</v>
      </c>
      <c r="B93" s="337" t="s">
        <v>200</v>
      </c>
      <c r="C93" s="338">
        <v>42823</v>
      </c>
      <c r="D93" s="280" t="s">
        <v>16</v>
      </c>
      <c r="E93" s="339">
        <v>294951.15000000002</v>
      </c>
      <c r="F93" s="340">
        <f>+E93*2.42915</f>
        <v>716480.58602250007</v>
      </c>
      <c r="G93" s="341">
        <f t="shared" ref="G93:G131" si="5">+C93+60</f>
        <v>42883</v>
      </c>
      <c r="H93" s="279"/>
      <c r="I93" s="280"/>
      <c r="J93" s="281"/>
      <c r="K93" s="342">
        <f>250000+44800</f>
        <v>294800</v>
      </c>
      <c r="L93" s="315"/>
      <c r="M93" s="343">
        <f t="shared" si="4"/>
        <v>151.15000000002328</v>
      </c>
      <c r="N93" s="313"/>
      <c r="O93" s="59"/>
      <c r="Q93" s="675"/>
    </row>
    <row r="94" spans="1:17" s="71" customFormat="1" hidden="1">
      <c r="A94" s="238" t="s">
        <v>15</v>
      </c>
      <c r="B94" s="239" t="s">
        <v>202</v>
      </c>
      <c r="C94" s="240">
        <v>42849</v>
      </c>
      <c r="D94" s="241" t="s">
        <v>16</v>
      </c>
      <c r="E94" s="242">
        <v>34976.019999999997</v>
      </c>
      <c r="F94" s="243">
        <f>+E94*2.48185</f>
        <v>86805.235237000001</v>
      </c>
      <c r="G94" s="568">
        <f t="shared" si="5"/>
        <v>42909</v>
      </c>
      <c r="H94" s="262"/>
      <c r="I94" s="241"/>
      <c r="J94" s="263"/>
      <c r="K94" s="245">
        <f>15600+9960+9266.92</f>
        <v>34826.92</v>
      </c>
      <c r="L94" s="244"/>
      <c r="M94" s="266">
        <f t="shared" si="4"/>
        <v>149.09999999999854</v>
      </c>
      <c r="N94" s="313"/>
      <c r="O94" s="59"/>
      <c r="Q94" s="675"/>
    </row>
    <row r="95" spans="1:17" s="71" customFormat="1" hidden="1">
      <c r="A95" s="336" t="s">
        <v>20</v>
      </c>
      <c r="B95" s="337" t="s">
        <v>204</v>
      </c>
      <c r="C95" s="338">
        <v>42863</v>
      </c>
      <c r="D95" s="280" t="s">
        <v>16</v>
      </c>
      <c r="E95" s="339">
        <v>184309.16</v>
      </c>
      <c r="F95" s="340">
        <f>+E95*2.6311</f>
        <v>484935.83087599999</v>
      </c>
      <c r="G95" s="341">
        <f t="shared" si="5"/>
        <v>42923</v>
      </c>
      <c r="H95" s="279"/>
      <c r="I95" s="280"/>
      <c r="J95" s="281"/>
      <c r="K95" s="342">
        <f>36000+15000+95000+4000+34200</f>
        <v>184200</v>
      </c>
      <c r="L95" s="315"/>
      <c r="M95" s="343">
        <f t="shared" si="4"/>
        <v>109.16000000000349</v>
      </c>
      <c r="N95" s="313"/>
      <c r="O95" s="59"/>
      <c r="Q95" s="675"/>
    </row>
    <row r="96" spans="1:17" s="71" customFormat="1" hidden="1">
      <c r="A96" s="336" t="s">
        <v>20</v>
      </c>
      <c r="B96" s="337" t="s">
        <v>210</v>
      </c>
      <c r="C96" s="338">
        <v>42898</v>
      </c>
      <c r="D96" s="280" t="s">
        <v>16</v>
      </c>
      <c r="E96" s="339">
        <v>295149.58</v>
      </c>
      <c r="F96" s="340">
        <f>+E96*2.74135</f>
        <v>809108.30113300006</v>
      </c>
      <c r="G96" s="341">
        <f t="shared" si="5"/>
        <v>42958</v>
      </c>
      <c r="H96" s="279"/>
      <c r="I96" s="280"/>
      <c r="J96" s="281"/>
      <c r="K96" s="342">
        <f>70000-34200+86000+111000+62300</f>
        <v>295100</v>
      </c>
      <c r="L96" s="315"/>
      <c r="M96" s="343">
        <f t="shared" si="4"/>
        <v>49.580000000016298</v>
      </c>
      <c r="N96" s="313"/>
      <c r="O96" s="59"/>
      <c r="Q96" s="675"/>
    </row>
    <row r="97" spans="1:22" s="71" customFormat="1">
      <c r="A97" s="320" t="s">
        <v>15</v>
      </c>
      <c r="B97" s="318" t="s">
        <v>211</v>
      </c>
      <c r="C97" s="321">
        <v>42906</v>
      </c>
      <c r="D97" s="208" t="s">
        <v>16</v>
      </c>
      <c r="E97" s="322">
        <v>52992.7</v>
      </c>
      <c r="F97" s="319">
        <f>+E97*2.7377</f>
        <v>145078.11478999999</v>
      </c>
      <c r="G97" s="323">
        <f t="shared" si="5"/>
        <v>42966</v>
      </c>
      <c r="H97" s="209"/>
      <c r="I97" s="208"/>
      <c r="J97" s="324"/>
      <c r="K97" s="211"/>
      <c r="L97" s="210"/>
      <c r="M97" s="265">
        <f t="shared" si="4"/>
        <v>52992.7</v>
      </c>
      <c r="N97" s="313"/>
      <c r="O97" s="59"/>
      <c r="Q97" s="675"/>
    </row>
    <row r="98" spans="1:22" s="71" customFormat="1" hidden="1">
      <c r="A98" s="336" t="s">
        <v>20</v>
      </c>
      <c r="B98" s="337" t="s">
        <v>222</v>
      </c>
      <c r="C98" s="338">
        <v>42933</v>
      </c>
      <c r="D98" s="280" t="s">
        <v>16</v>
      </c>
      <c r="E98" s="339">
        <v>286403.78999999998</v>
      </c>
      <c r="F98" s="340">
        <f>+E98*2.7746</f>
        <v>794655.95573399996</v>
      </c>
      <c r="G98" s="341">
        <f t="shared" si="5"/>
        <v>42993</v>
      </c>
      <c r="H98" s="279"/>
      <c r="I98" s="280"/>
      <c r="J98" s="281"/>
      <c r="K98" s="342">
        <f>180000+47200+7500+51650</f>
        <v>286350</v>
      </c>
      <c r="L98" s="315"/>
      <c r="M98" s="343">
        <f t="shared" si="4"/>
        <v>53.789999999979045</v>
      </c>
      <c r="N98" s="313"/>
      <c r="O98" s="59"/>
      <c r="Q98" s="675"/>
    </row>
    <row r="99" spans="1:22" s="71" customFormat="1" hidden="1">
      <c r="A99" s="238" t="s">
        <v>20</v>
      </c>
      <c r="B99" s="239" t="s">
        <v>229</v>
      </c>
      <c r="C99" s="240">
        <v>42963</v>
      </c>
      <c r="D99" s="241" t="s">
        <v>16</v>
      </c>
      <c r="E99" s="242">
        <v>94511.3</v>
      </c>
      <c r="F99" s="243">
        <f>+E99*2.80685</f>
        <v>265279.04240500001</v>
      </c>
      <c r="G99" s="568">
        <f t="shared" si="5"/>
        <v>43023</v>
      </c>
      <c r="H99" s="262"/>
      <c r="I99" s="241"/>
      <c r="J99" s="263"/>
      <c r="K99" s="245">
        <f>125000-51650+21100</f>
        <v>94450</v>
      </c>
      <c r="L99" s="244"/>
      <c r="M99" s="266">
        <f t="shared" si="4"/>
        <v>61.30000000000291</v>
      </c>
      <c r="N99" s="313"/>
      <c r="O99" s="59"/>
      <c r="Q99" s="675"/>
    </row>
    <row r="100" spans="1:22" s="71" customFormat="1" hidden="1">
      <c r="A100" s="238" t="s">
        <v>20</v>
      </c>
      <c r="B100" s="239" t="s">
        <v>231</v>
      </c>
      <c r="C100" s="240">
        <v>42975</v>
      </c>
      <c r="D100" s="241" t="s">
        <v>16</v>
      </c>
      <c r="E100" s="242">
        <v>278132.68</v>
      </c>
      <c r="F100" s="243">
        <f>+E100*2.88515</f>
        <v>802454.50170199992</v>
      </c>
      <c r="G100" s="568">
        <f t="shared" si="5"/>
        <v>43035</v>
      </c>
      <c r="H100" s="262"/>
      <c r="I100" s="241"/>
      <c r="J100" s="263"/>
      <c r="K100" s="245">
        <f>100000-21100+102000+97200</f>
        <v>278100</v>
      </c>
      <c r="L100" s="244"/>
      <c r="M100" s="266">
        <f t="shared" si="4"/>
        <v>32.679999999993015</v>
      </c>
      <c r="N100" s="313"/>
      <c r="O100" s="59"/>
      <c r="Q100" s="675"/>
    </row>
    <row r="101" spans="1:22" s="71" customFormat="1" hidden="1">
      <c r="A101" s="238" t="s">
        <v>20</v>
      </c>
      <c r="B101" s="239" t="s">
        <v>236</v>
      </c>
      <c r="C101" s="240">
        <v>43010</v>
      </c>
      <c r="D101" s="241" t="s">
        <v>16</v>
      </c>
      <c r="E101" s="242">
        <v>94696.34</v>
      </c>
      <c r="F101" s="243">
        <f>+E101*2.8948</f>
        <v>274126.96503199998</v>
      </c>
      <c r="G101" s="568">
        <f t="shared" si="5"/>
        <v>43070</v>
      </c>
      <c r="H101" s="262"/>
      <c r="I101" s="241"/>
      <c r="J101" s="263"/>
      <c r="K101" s="245">
        <v>94650</v>
      </c>
      <c r="L101" s="244"/>
      <c r="M101" s="266">
        <f t="shared" si="4"/>
        <v>46.339999999996508</v>
      </c>
      <c r="N101" s="313"/>
      <c r="O101" s="59"/>
      <c r="Q101" s="675"/>
    </row>
    <row r="102" spans="1:22" s="71" customFormat="1" hidden="1">
      <c r="A102" s="238" t="s">
        <v>20</v>
      </c>
      <c r="B102" s="239" t="s">
        <v>239</v>
      </c>
      <c r="C102" s="240">
        <v>43019</v>
      </c>
      <c r="D102" s="241" t="s">
        <v>16</v>
      </c>
      <c r="E102" s="242">
        <v>87025.13</v>
      </c>
      <c r="F102" s="243">
        <f>+E102*2.902</f>
        <v>252546.92726000003</v>
      </c>
      <c r="G102" s="568">
        <f t="shared" si="5"/>
        <v>43079</v>
      </c>
      <c r="H102" s="262"/>
      <c r="I102" s="241"/>
      <c r="J102" s="263"/>
      <c r="K102" s="245">
        <f>8150+78800</f>
        <v>86950</v>
      </c>
      <c r="L102" s="244"/>
      <c r="M102" s="266">
        <f t="shared" si="4"/>
        <v>75.130000000004657</v>
      </c>
      <c r="N102" s="313"/>
      <c r="O102" s="59"/>
      <c r="Q102" s="675"/>
    </row>
    <row r="103" spans="1:22" s="71" customFormat="1" hidden="1">
      <c r="A103" s="238" t="s">
        <v>20</v>
      </c>
      <c r="B103" s="239" t="s">
        <v>241</v>
      </c>
      <c r="C103" s="240">
        <v>43026</v>
      </c>
      <c r="D103" s="241" t="s">
        <v>16</v>
      </c>
      <c r="E103" s="242">
        <v>98676.9</v>
      </c>
      <c r="F103" s="243">
        <f>+E103*2.89915</f>
        <v>286079.13463499997</v>
      </c>
      <c r="G103" s="568">
        <f t="shared" si="5"/>
        <v>43086</v>
      </c>
      <c r="H103" s="262"/>
      <c r="I103" s="241"/>
      <c r="J103" s="263"/>
      <c r="K103" s="245">
        <v>98600</v>
      </c>
      <c r="L103" s="244"/>
      <c r="M103" s="266">
        <f t="shared" si="4"/>
        <v>76.899999999994179</v>
      </c>
      <c r="N103" s="313"/>
      <c r="O103" s="59"/>
      <c r="Q103" s="675"/>
    </row>
    <row r="104" spans="1:22" s="71" customFormat="1" hidden="1">
      <c r="A104" s="238" t="s">
        <v>20</v>
      </c>
      <c r="B104" s="239" t="s">
        <v>242</v>
      </c>
      <c r="C104" s="240">
        <v>43031</v>
      </c>
      <c r="D104" s="241" t="s">
        <v>16</v>
      </c>
      <c r="E104" s="242">
        <v>90761.4</v>
      </c>
      <c r="F104" s="243">
        <f>+E104*2.9083</f>
        <v>263961.37962000002</v>
      </c>
      <c r="G104" s="568">
        <f t="shared" si="5"/>
        <v>43091</v>
      </c>
      <c r="H104" s="262"/>
      <c r="I104" s="241"/>
      <c r="J104" s="263"/>
      <c r="K104" s="245">
        <f>22600+60000+8100</f>
        <v>90700</v>
      </c>
      <c r="L104" s="244"/>
      <c r="M104" s="266">
        <f t="shared" si="4"/>
        <v>61.399999999994179</v>
      </c>
      <c r="N104" s="313"/>
      <c r="O104" s="59"/>
      <c r="Q104" s="675"/>
    </row>
    <row r="105" spans="1:22" s="71" customFormat="1" hidden="1">
      <c r="A105" s="238" t="s">
        <v>20</v>
      </c>
      <c r="B105" s="239" t="s">
        <v>261</v>
      </c>
      <c r="C105" s="240">
        <v>43035</v>
      </c>
      <c r="D105" s="241" t="s">
        <v>16</v>
      </c>
      <c r="E105" s="242">
        <v>101159.6</v>
      </c>
      <c r="F105" s="243">
        <f>+E105*2.9096</f>
        <v>294333.97216000006</v>
      </c>
      <c r="G105" s="568">
        <f t="shared" si="5"/>
        <v>43095</v>
      </c>
      <c r="H105" s="262"/>
      <c r="I105" s="241"/>
      <c r="J105" s="263"/>
      <c r="K105" s="245">
        <f>62000-8100+47200</f>
        <v>101100</v>
      </c>
      <c r="L105" s="244"/>
      <c r="M105" s="266">
        <f t="shared" si="4"/>
        <v>59.600000000005821</v>
      </c>
      <c r="N105" s="313"/>
      <c r="O105" s="59"/>
      <c r="Q105" s="675"/>
    </row>
    <row r="106" spans="1:22" s="71" customFormat="1" hidden="1">
      <c r="A106" s="238" t="s">
        <v>20</v>
      </c>
      <c r="B106" s="239" t="s">
        <v>262</v>
      </c>
      <c r="C106" s="240">
        <v>43041</v>
      </c>
      <c r="D106" s="241" t="s">
        <v>16</v>
      </c>
      <c r="E106" s="242">
        <v>101167.8</v>
      </c>
      <c r="F106" s="243">
        <f>+E106*2.8951</f>
        <v>292890.89778</v>
      </c>
      <c r="G106" s="568">
        <f t="shared" si="5"/>
        <v>43101</v>
      </c>
      <c r="H106" s="262"/>
      <c r="I106" s="241"/>
      <c r="J106" s="263"/>
      <c r="K106" s="245">
        <f>70000-47200+78350</f>
        <v>101150</v>
      </c>
      <c r="L106" s="244"/>
      <c r="M106" s="266">
        <f t="shared" si="4"/>
        <v>17.80000000000291</v>
      </c>
      <c r="N106" s="313"/>
      <c r="O106" s="59"/>
      <c r="P106" s="677"/>
      <c r="Q106" s="675"/>
    </row>
    <row r="107" spans="1:22" s="71" customFormat="1" hidden="1">
      <c r="A107" s="238" t="s">
        <v>20</v>
      </c>
      <c r="B107" s="239" t="s">
        <v>265</v>
      </c>
      <c r="C107" s="240">
        <v>43048</v>
      </c>
      <c r="D107" s="241" t="s">
        <v>16</v>
      </c>
      <c r="E107" s="242">
        <v>96608.7</v>
      </c>
      <c r="F107" s="243">
        <f>+E107*2.8966</f>
        <v>279836.76041999995</v>
      </c>
      <c r="G107" s="568">
        <f t="shared" si="5"/>
        <v>43108</v>
      </c>
      <c r="H107" s="262"/>
      <c r="I107" s="241"/>
      <c r="J107" s="263"/>
      <c r="K107" s="245">
        <v>96550.7</v>
      </c>
      <c r="L107" s="244"/>
      <c r="M107" s="266">
        <f t="shared" si="4"/>
        <v>58</v>
      </c>
      <c r="N107" s="313"/>
      <c r="O107" s="59"/>
      <c r="P107" s="677"/>
      <c r="Q107" s="675"/>
      <c r="S107" s="676"/>
      <c r="T107" s="676"/>
      <c r="U107" s="676"/>
    </row>
    <row r="108" spans="1:22" s="71" customFormat="1" hidden="1">
      <c r="A108" s="238" t="s">
        <v>20</v>
      </c>
      <c r="B108" s="239" t="s">
        <v>268</v>
      </c>
      <c r="C108" s="240">
        <v>43055</v>
      </c>
      <c r="D108" s="241" t="s">
        <v>16</v>
      </c>
      <c r="E108" s="242">
        <v>97238.05</v>
      </c>
      <c r="F108" s="243">
        <f>+E108*2.9226</f>
        <v>284187.92493000004</v>
      </c>
      <c r="G108" s="568">
        <f t="shared" si="5"/>
        <v>43115</v>
      </c>
      <c r="H108" s="262"/>
      <c r="I108" s="241"/>
      <c r="J108" s="263"/>
      <c r="K108" s="245">
        <f>35099.3+62100</f>
        <v>97199.3</v>
      </c>
      <c r="L108" s="244"/>
      <c r="M108" s="266">
        <f t="shared" si="4"/>
        <v>38.75</v>
      </c>
      <c r="N108" s="313"/>
      <c r="O108" s="59"/>
      <c r="P108" s="677"/>
      <c r="Q108" s="675"/>
      <c r="R108" s="677"/>
      <c r="S108" s="677"/>
      <c r="T108" s="677"/>
      <c r="U108" s="677"/>
    </row>
    <row r="109" spans="1:22" s="71" customFormat="1" hidden="1">
      <c r="A109" s="238" t="s">
        <v>20</v>
      </c>
      <c r="B109" s="239" t="s">
        <v>271</v>
      </c>
      <c r="C109" s="240">
        <v>43060</v>
      </c>
      <c r="D109" s="241" t="s">
        <v>16</v>
      </c>
      <c r="E109" s="242">
        <v>98581.08</v>
      </c>
      <c r="F109" s="243">
        <f>+E109*2.9136</f>
        <v>287225.83468800003</v>
      </c>
      <c r="G109" s="568">
        <f t="shared" si="5"/>
        <v>43120</v>
      </c>
      <c r="H109" s="262"/>
      <c r="I109" s="241"/>
      <c r="J109" s="263"/>
      <c r="K109" s="245">
        <f>120000-62100+40600</f>
        <v>98500</v>
      </c>
      <c r="L109" s="244"/>
      <c r="M109" s="266">
        <f t="shared" si="4"/>
        <v>81.080000000001746</v>
      </c>
      <c r="N109" s="313"/>
      <c r="O109" s="59"/>
      <c r="P109" s="677"/>
      <c r="Q109" s="675"/>
      <c r="R109" s="677"/>
      <c r="S109" s="677"/>
      <c r="T109" s="677"/>
      <c r="U109" s="677"/>
    </row>
    <row r="110" spans="1:22" s="71" customFormat="1" hidden="1">
      <c r="A110" s="238" t="s">
        <v>20</v>
      </c>
      <c r="B110" s="239" t="s">
        <v>273</v>
      </c>
      <c r="C110" s="240">
        <v>43062</v>
      </c>
      <c r="D110" s="241" t="s">
        <v>16</v>
      </c>
      <c r="E110" s="242">
        <v>98946.8</v>
      </c>
      <c r="F110" s="243">
        <f>+E110*2.9144</f>
        <v>288370.55392000003</v>
      </c>
      <c r="G110" s="568">
        <f t="shared" si="5"/>
        <v>43122</v>
      </c>
      <c r="H110" s="262"/>
      <c r="I110" s="241"/>
      <c r="J110" s="263"/>
      <c r="K110" s="245">
        <v>98900</v>
      </c>
      <c r="L110" s="244"/>
      <c r="M110" s="266">
        <f t="shared" si="4"/>
        <v>46.80000000000291</v>
      </c>
      <c r="N110" s="313"/>
      <c r="O110" s="59"/>
      <c r="Q110" s="675"/>
      <c r="R110" s="677"/>
      <c r="S110" s="677"/>
      <c r="T110" s="677"/>
      <c r="U110" s="677"/>
    </row>
    <row r="111" spans="1:22" s="71" customFormat="1" hidden="1">
      <c r="A111" s="238" t="s">
        <v>20</v>
      </c>
      <c r="B111" s="239" t="s">
        <v>277</v>
      </c>
      <c r="C111" s="240">
        <v>43075</v>
      </c>
      <c r="D111" s="241" t="s">
        <v>16</v>
      </c>
      <c r="E111" s="242">
        <v>185065.83</v>
      </c>
      <c r="F111" s="243">
        <f>+E111*2.9164</f>
        <v>539725.98661199992</v>
      </c>
      <c r="G111" s="568">
        <f t="shared" si="5"/>
        <v>43135</v>
      </c>
      <c r="H111" s="262"/>
      <c r="I111" s="241"/>
      <c r="J111" s="263"/>
      <c r="K111" s="245">
        <f>11500+46500+90000+37000</f>
        <v>185000</v>
      </c>
      <c r="L111" s="244"/>
      <c r="M111" s="266">
        <f t="shared" si="4"/>
        <v>65.829999999987194</v>
      </c>
      <c r="N111" s="313"/>
      <c r="O111" s="59"/>
      <c r="Q111" s="675"/>
      <c r="R111" s="677"/>
      <c r="S111" s="677"/>
      <c r="U111" s="677"/>
      <c r="V111" s="677"/>
    </row>
    <row r="112" spans="1:22" s="71" customFormat="1">
      <c r="A112" s="61" t="s">
        <v>15</v>
      </c>
      <c r="B112" s="62" t="s">
        <v>278</v>
      </c>
      <c r="C112" s="63">
        <v>43075</v>
      </c>
      <c r="D112" s="67" t="s">
        <v>16</v>
      </c>
      <c r="E112" s="64">
        <v>14634.52</v>
      </c>
      <c r="F112" s="65">
        <f>+E112*2.9164</f>
        <v>42680.114128000001</v>
      </c>
      <c r="G112" s="66">
        <f t="shared" si="5"/>
        <v>43135</v>
      </c>
      <c r="H112" s="236"/>
      <c r="I112" s="67"/>
      <c r="J112" s="235"/>
      <c r="K112" s="69"/>
      <c r="L112" s="68"/>
      <c r="M112" s="294">
        <f t="shared" si="4"/>
        <v>14634.52</v>
      </c>
      <c r="N112" s="313"/>
      <c r="O112" s="59"/>
      <c r="P112" s="675"/>
      <c r="Q112" s="675"/>
    </row>
    <row r="113" spans="1:17" s="71" customFormat="1">
      <c r="A113" s="61" t="s">
        <v>20</v>
      </c>
      <c r="B113" s="62" t="s">
        <v>281</v>
      </c>
      <c r="C113" s="63">
        <v>43082</v>
      </c>
      <c r="D113" s="67" t="s">
        <v>16</v>
      </c>
      <c r="E113" s="64">
        <v>168283.6</v>
      </c>
      <c r="F113" s="65">
        <f>+E113*2.9163</f>
        <v>490765.46268000006</v>
      </c>
      <c r="G113" s="66">
        <f t="shared" si="5"/>
        <v>43142</v>
      </c>
      <c r="H113" s="236"/>
      <c r="I113" s="67"/>
      <c r="J113" s="235"/>
      <c r="K113" s="69">
        <f>128000-37000</f>
        <v>91000</v>
      </c>
      <c r="L113" s="68"/>
      <c r="M113" s="294">
        <f t="shared" si="4"/>
        <v>77283.600000000006</v>
      </c>
      <c r="N113" s="313"/>
      <c r="O113" s="59"/>
      <c r="P113" s="675"/>
      <c r="Q113" s="675"/>
    </row>
    <row r="114" spans="1:17" s="71" customFormat="1">
      <c r="A114" s="61" t="s">
        <v>20</v>
      </c>
      <c r="B114" s="62" t="s">
        <v>282</v>
      </c>
      <c r="C114" s="63">
        <v>43083</v>
      </c>
      <c r="D114" s="67" t="s">
        <v>16</v>
      </c>
      <c r="E114" s="64">
        <v>88099.11</v>
      </c>
      <c r="F114" s="65">
        <f>+E114*2.9163</f>
        <v>256923.43449300001</v>
      </c>
      <c r="G114" s="66">
        <f t="shared" si="5"/>
        <v>43143</v>
      </c>
      <c r="H114" s="236"/>
      <c r="I114" s="67"/>
      <c r="J114" s="235"/>
      <c r="K114" s="69"/>
      <c r="L114" s="68"/>
      <c r="M114" s="294">
        <f t="shared" si="4"/>
        <v>88099.11</v>
      </c>
      <c r="N114" s="313"/>
      <c r="O114" s="59"/>
      <c r="Q114" s="675"/>
    </row>
    <row r="115" spans="1:17" s="71" customFormat="1">
      <c r="A115" s="61" t="s">
        <v>20</v>
      </c>
      <c r="B115" s="62" t="s">
        <v>285</v>
      </c>
      <c r="C115" s="63">
        <v>43091</v>
      </c>
      <c r="D115" s="67" t="s">
        <v>16</v>
      </c>
      <c r="E115" s="64">
        <v>97608.05</v>
      </c>
      <c r="F115" s="65">
        <f>+E115*2.92675</f>
        <v>285674.36033750005</v>
      </c>
      <c r="G115" s="66">
        <f t="shared" si="5"/>
        <v>43151</v>
      </c>
      <c r="H115" s="236"/>
      <c r="I115" s="67"/>
      <c r="J115" s="235"/>
      <c r="K115" s="69"/>
      <c r="L115" s="68"/>
      <c r="M115" s="294">
        <f t="shared" si="4"/>
        <v>97608.05</v>
      </c>
      <c r="N115" s="313"/>
      <c r="O115" s="59"/>
      <c r="Q115" s="675"/>
    </row>
    <row r="116" spans="1:17" s="71" customFormat="1">
      <c r="A116" s="61" t="s">
        <v>20</v>
      </c>
      <c r="B116" s="62" t="s">
        <v>288</v>
      </c>
      <c r="C116" s="63">
        <v>43104</v>
      </c>
      <c r="D116" s="67" t="s">
        <v>16</v>
      </c>
      <c r="E116" s="64">
        <v>102081.42</v>
      </c>
      <c r="F116" s="65">
        <f>+E116*2.94</f>
        <v>300119.37479999999</v>
      </c>
      <c r="G116" s="66">
        <f t="shared" si="5"/>
        <v>43164</v>
      </c>
      <c r="H116" s="236"/>
      <c r="I116" s="67"/>
      <c r="J116" s="235"/>
      <c r="K116" s="69"/>
      <c r="L116" s="68"/>
      <c r="M116" s="294">
        <f t="shared" si="4"/>
        <v>102081.42</v>
      </c>
      <c r="N116" s="313"/>
      <c r="O116" s="59"/>
      <c r="Q116" s="675"/>
    </row>
    <row r="117" spans="1:17" s="71" customFormat="1">
      <c r="A117" s="61" t="s">
        <v>20</v>
      </c>
      <c r="B117" s="62" t="s">
        <v>289</v>
      </c>
      <c r="C117" s="63">
        <v>43109</v>
      </c>
      <c r="D117" s="67" t="s">
        <v>16</v>
      </c>
      <c r="E117" s="64">
        <v>93737.67</v>
      </c>
      <c r="F117" s="65">
        <f>+E117*2.9394</f>
        <v>275532.50719799998</v>
      </c>
      <c r="G117" s="66">
        <f t="shared" si="5"/>
        <v>43169</v>
      </c>
      <c r="H117" s="236"/>
      <c r="I117" s="67"/>
      <c r="J117" s="235"/>
      <c r="K117" s="69"/>
      <c r="L117" s="68"/>
      <c r="M117" s="294">
        <f t="shared" si="4"/>
        <v>93737.67</v>
      </c>
      <c r="N117" s="313"/>
      <c r="O117" s="59"/>
      <c r="Q117" s="675"/>
    </row>
    <row r="118" spans="1:17" s="71" customFormat="1">
      <c r="A118" s="61" t="s">
        <v>292</v>
      </c>
      <c r="B118" s="62" t="s">
        <v>303</v>
      </c>
      <c r="C118" s="63">
        <v>43147</v>
      </c>
      <c r="D118" s="67" t="s">
        <v>16</v>
      </c>
      <c r="E118" s="64">
        <v>73120.639999999999</v>
      </c>
      <c r="F118" s="65">
        <f>+E118*2.9473</f>
        <v>215508.46227199998</v>
      </c>
      <c r="G118" s="66">
        <f t="shared" si="5"/>
        <v>43207</v>
      </c>
      <c r="H118" s="236"/>
      <c r="I118" s="67"/>
      <c r="J118" s="235"/>
      <c r="K118" s="69">
        <f>40000+30000</f>
        <v>70000</v>
      </c>
      <c r="L118" s="68"/>
      <c r="M118" s="294">
        <f t="shared" si="4"/>
        <v>3120.6399999999994</v>
      </c>
      <c r="N118" s="313"/>
      <c r="O118" s="59"/>
      <c r="Q118" s="675"/>
    </row>
    <row r="119" spans="1:17" s="71" customFormat="1" hidden="1">
      <c r="A119" s="238" t="s">
        <v>20</v>
      </c>
      <c r="B119" s="239" t="s">
        <v>313</v>
      </c>
      <c r="C119" s="240">
        <v>43165</v>
      </c>
      <c r="D119" s="241" t="s">
        <v>9</v>
      </c>
      <c r="E119" s="242"/>
      <c r="F119" s="243">
        <v>501228</v>
      </c>
      <c r="G119" s="568">
        <f t="shared" si="5"/>
        <v>43225</v>
      </c>
      <c r="H119" s="262"/>
      <c r="I119" s="241"/>
      <c r="J119" s="263"/>
      <c r="K119" s="245">
        <v>493175.53399999999</v>
      </c>
      <c r="L119" s="244"/>
      <c r="M119" s="266">
        <f>F119-K119</f>
        <v>8052.4660000000149</v>
      </c>
      <c r="N119" s="313"/>
      <c r="O119" s="59"/>
      <c r="Q119" s="675"/>
    </row>
    <row r="120" spans="1:17" s="71" customFormat="1">
      <c r="A120" s="61" t="s">
        <v>311</v>
      </c>
      <c r="B120" s="62" t="s">
        <v>312</v>
      </c>
      <c r="C120" s="63">
        <v>43174</v>
      </c>
      <c r="D120" s="67" t="s">
        <v>16</v>
      </c>
      <c r="E120" s="64">
        <v>74078.350000000006</v>
      </c>
      <c r="F120" s="65">
        <f>+E120*2.9419</f>
        <v>217931.09786500002</v>
      </c>
      <c r="G120" s="66">
        <f t="shared" si="5"/>
        <v>43234</v>
      </c>
      <c r="H120" s="236"/>
      <c r="I120" s="67"/>
      <c r="J120" s="235"/>
      <c r="K120" s="69"/>
      <c r="L120" s="68"/>
      <c r="M120" s="294">
        <f t="shared" si="4"/>
        <v>74078.350000000006</v>
      </c>
      <c r="N120" s="313"/>
      <c r="O120" s="59"/>
      <c r="Q120" s="675"/>
    </row>
    <row r="121" spans="1:17" s="71" customFormat="1">
      <c r="A121" s="61" t="s">
        <v>20</v>
      </c>
      <c r="B121" s="62" t="s">
        <v>327</v>
      </c>
      <c r="C121" s="63">
        <v>43206</v>
      </c>
      <c r="D121" s="67" t="s">
        <v>16</v>
      </c>
      <c r="E121" s="64">
        <v>85002.64</v>
      </c>
      <c r="F121" s="65">
        <f>+E121*2.9521</f>
        <v>250936.29354400001</v>
      </c>
      <c r="G121" s="66">
        <f t="shared" si="5"/>
        <v>43266</v>
      </c>
      <c r="H121" s="236"/>
      <c r="I121" s="67"/>
      <c r="J121" s="235"/>
      <c r="K121" s="69"/>
      <c r="L121" s="68"/>
      <c r="M121" s="294">
        <f t="shared" si="4"/>
        <v>85002.64</v>
      </c>
      <c r="N121" s="313"/>
      <c r="O121" s="59"/>
      <c r="Q121" s="675"/>
    </row>
    <row r="122" spans="1:17" s="71" customFormat="1" hidden="1">
      <c r="A122" s="238" t="s">
        <v>311</v>
      </c>
      <c r="B122" s="239" t="s">
        <v>338</v>
      </c>
      <c r="C122" s="240">
        <v>43209</v>
      </c>
      <c r="D122" s="241" t="s">
        <v>16</v>
      </c>
      <c r="E122" s="242">
        <v>9990.2800000000007</v>
      </c>
      <c r="F122" s="243">
        <f>+E122*2.9558</f>
        <v>29529.269624</v>
      </c>
      <c r="G122" s="568">
        <f t="shared" si="5"/>
        <v>43269</v>
      </c>
      <c r="H122" s="262"/>
      <c r="I122" s="241"/>
      <c r="J122" s="263"/>
      <c r="K122" s="245">
        <v>9990.2800000000007</v>
      </c>
      <c r="L122" s="244"/>
      <c r="M122" s="266">
        <f t="shared" si="4"/>
        <v>0</v>
      </c>
      <c r="N122" s="313"/>
      <c r="O122" s="59"/>
      <c r="Q122" s="675"/>
    </row>
    <row r="123" spans="1:17" s="71" customFormat="1">
      <c r="A123" s="61" t="s">
        <v>311</v>
      </c>
      <c r="B123" s="62" t="s">
        <v>326</v>
      </c>
      <c r="C123" s="63">
        <v>43213</v>
      </c>
      <c r="D123" s="67" t="s">
        <v>16</v>
      </c>
      <c r="E123" s="64">
        <v>70110.52</v>
      </c>
      <c r="F123" s="65">
        <f>+E123*2.95395</f>
        <v>207102.970554</v>
      </c>
      <c r="G123" s="66">
        <f t="shared" si="5"/>
        <v>43273</v>
      </c>
      <c r="H123" s="236"/>
      <c r="I123" s="67"/>
      <c r="J123" s="235"/>
      <c r="K123" s="69"/>
      <c r="L123" s="68"/>
      <c r="M123" s="294">
        <f t="shared" si="4"/>
        <v>70110.52</v>
      </c>
      <c r="N123" s="313"/>
      <c r="O123" s="59"/>
      <c r="Q123" s="675"/>
    </row>
    <row r="124" spans="1:17" s="71" customFormat="1">
      <c r="A124" s="61" t="s">
        <v>20</v>
      </c>
      <c r="B124" s="62" t="s">
        <v>343</v>
      </c>
      <c r="C124" s="63">
        <v>43236</v>
      </c>
      <c r="D124" s="67" t="s">
        <v>16</v>
      </c>
      <c r="E124" s="64">
        <v>92220.66</v>
      </c>
      <c r="F124" s="65">
        <f>E124*2.97195</f>
        <v>274075.19048700004</v>
      </c>
      <c r="G124" s="66">
        <f t="shared" si="5"/>
        <v>43296</v>
      </c>
      <c r="H124" s="236"/>
      <c r="I124" s="67"/>
      <c r="J124" s="235"/>
      <c r="K124" s="69"/>
      <c r="L124" s="68"/>
      <c r="M124" s="294">
        <f t="shared" si="4"/>
        <v>92220.66</v>
      </c>
      <c r="N124" s="313"/>
      <c r="O124" s="59"/>
      <c r="Q124" s="675"/>
    </row>
    <row r="125" spans="1:17" s="71" customFormat="1">
      <c r="A125" s="61" t="s">
        <v>311</v>
      </c>
      <c r="B125" s="62" t="s">
        <v>342</v>
      </c>
      <c r="C125" s="63">
        <v>43235</v>
      </c>
      <c r="D125" s="67" t="s">
        <v>16</v>
      </c>
      <c r="E125" s="64">
        <v>59539.5</v>
      </c>
      <c r="F125" s="65">
        <f>+E125*2.97945</f>
        <v>177394.96327499999</v>
      </c>
      <c r="G125" s="66">
        <f t="shared" si="5"/>
        <v>43295</v>
      </c>
      <c r="H125" s="236"/>
      <c r="I125" s="67"/>
      <c r="J125" s="235"/>
      <c r="K125" s="69"/>
      <c r="L125" s="68"/>
      <c r="M125" s="294">
        <f t="shared" si="4"/>
        <v>59539.5</v>
      </c>
      <c r="N125" s="313"/>
      <c r="O125" s="59"/>
      <c r="Q125" s="675"/>
    </row>
    <row r="126" spans="1:17" s="71" customFormat="1">
      <c r="A126" s="61" t="s">
        <v>311</v>
      </c>
      <c r="B126" s="62" t="s">
        <v>344</v>
      </c>
      <c r="C126" s="63">
        <v>43243</v>
      </c>
      <c r="D126" s="67" t="s">
        <v>16</v>
      </c>
      <c r="E126" s="64">
        <v>64244.86</v>
      </c>
      <c r="F126" s="65">
        <f>+E126*2.97525</f>
        <v>191144.519715</v>
      </c>
      <c r="G126" s="66">
        <f t="shared" si="5"/>
        <v>43303</v>
      </c>
      <c r="H126" s="236"/>
      <c r="I126" s="67"/>
      <c r="J126" s="235"/>
      <c r="K126" s="69"/>
      <c r="L126" s="68"/>
      <c r="M126" s="294">
        <f t="shared" si="4"/>
        <v>64244.86</v>
      </c>
      <c r="N126" s="313"/>
      <c r="O126" s="59"/>
      <c r="Q126" s="675"/>
    </row>
    <row r="127" spans="1:17" s="71" customFormat="1">
      <c r="A127" s="61" t="s">
        <v>20</v>
      </c>
      <c r="B127" s="62" t="s">
        <v>352</v>
      </c>
      <c r="C127" s="63">
        <v>43251</v>
      </c>
      <c r="D127" s="67" t="s">
        <v>16</v>
      </c>
      <c r="E127" s="64">
        <v>96319.08</v>
      </c>
      <c r="F127" s="65">
        <f>+E127*2.99085</f>
        <v>288075.92041800002</v>
      </c>
      <c r="G127" s="66">
        <f t="shared" si="5"/>
        <v>43311</v>
      </c>
      <c r="H127" s="236"/>
      <c r="I127" s="67"/>
      <c r="J127" s="235"/>
      <c r="K127" s="69"/>
      <c r="L127" s="68"/>
      <c r="M127" s="294">
        <f t="shared" si="4"/>
        <v>96319.08</v>
      </c>
      <c r="N127" s="313"/>
      <c r="O127" s="59"/>
      <c r="Q127" s="675"/>
    </row>
    <row r="128" spans="1:17" s="71" customFormat="1">
      <c r="A128" s="61" t="s">
        <v>311</v>
      </c>
      <c r="B128" s="62" t="s">
        <v>354</v>
      </c>
      <c r="C128" s="63">
        <v>43262</v>
      </c>
      <c r="D128" s="67" t="s">
        <v>16</v>
      </c>
      <c r="E128" s="64">
        <v>62886.3</v>
      </c>
      <c r="F128" s="65">
        <f>+E128*3.01205</f>
        <v>189416.67991500002</v>
      </c>
      <c r="G128" s="66">
        <f t="shared" si="5"/>
        <v>43322</v>
      </c>
      <c r="H128" s="236"/>
      <c r="I128" s="67"/>
      <c r="J128" s="235"/>
      <c r="K128" s="69"/>
      <c r="L128" s="68"/>
      <c r="M128" s="294">
        <f t="shared" si="4"/>
        <v>62886.3</v>
      </c>
      <c r="N128" s="313"/>
      <c r="O128" s="59"/>
      <c r="Q128" s="675"/>
    </row>
    <row r="129" spans="1:17" s="71" customFormat="1">
      <c r="A129" s="61" t="s">
        <v>20</v>
      </c>
      <c r="B129" s="62" t="s">
        <v>353</v>
      </c>
      <c r="C129" s="63">
        <v>43262</v>
      </c>
      <c r="D129" s="67" t="s">
        <v>16</v>
      </c>
      <c r="E129" s="64">
        <v>89476.73</v>
      </c>
      <c r="F129" s="65">
        <f>+E129*3.0199</f>
        <v>270210.77692699997</v>
      </c>
      <c r="G129" s="66">
        <f t="shared" si="5"/>
        <v>43322</v>
      </c>
      <c r="H129" s="236"/>
      <c r="I129" s="67"/>
      <c r="J129" s="235"/>
      <c r="K129" s="69"/>
      <c r="L129" s="68"/>
      <c r="M129" s="294">
        <f t="shared" si="4"/>
        <v>89476.73</v>
      </c>
      <c r="N129" s="313"/>
      <c r="O129" s="59"/>
      <c r="Q129" s="675"/>
    </row>
    <row r="130" spans="1:17" s="71" customFormat="1">
      <c r="A130" s="61" t="s">
        <v>20</v>
      </c>
      <c r="B130" s="62" t="s">
        <v>1106</v>
      </c>
      <c r="C130" s="63">
        <v>43291</v>
      </c>
      <c r="D130" s="67" t="s">
        <v>16</v>
      </c>
      <c r="E130" s="64">
        <v>92676.52</v>
      </c>
      <c r="F130" s="65">
        <f>+E130*3.0721</f>
        <v>284711.53709200001</v>
      </c>
      <c r="G130" s="66">
        <f t="shared" si="5"/>
        <v>43351</v>
      </c>
      <c r="H130" s="236"/>
      <c r="I130" s="67"/>
      <c r="J130" s="235"/>
      <c r="K130" s="69"/>
      <c r="L130" s="68"/>
      <c r="M130" s="294">
        <f t="shared" si="4"/>
        <v>92676.52</v>
      </c>
      <c r="N130" s="313"/>
      <c r="O130" s="59"/>
      <c r="Q130" s="675"/>
    </row>
    <row r="131" spans="1:17" s="71" customFormat="1">
      <c r="A131" s="61" t="s">
        <v>311</v>
      </c>
      <c r="B131" s="62" t="s">
        <v>1107</v>
      </c>
      <c r="C131" s="63">
        <v>43291</v>
      </c>
      <c r="D131" s="67" t="s">
        <v>16</v>
      </c>
      <c r="E131" s="64">
        <v>70446.11</v>
      </c>
      <c r="F131" s="65">
        <f>+E131*3.0721</f>
        <v>216417.494531</v>
      </c>
      <c r="G131" s="66">
        <f t="shared" si="5"/>
        <v>43351</v>
      </c>
      <c r="H131" s="236"/>
      <c r="I131" s="67"/>
      <c r="J131" s="235"/>
      <c r="K131" s="69"/>
      <c r="L131" s="68"/>
      <c r="M131" s="294">
        <f t="shared" si="4"/>
        <v>70446.11</v>
      </c>
      <c r="N131" s="313"/>
      <c r="O131" s="59"/>
      <c r="Q131" s="675"/>
    </row>
    <row r="132" spans="1:17" s="71" customFormat="1" ht="13.5" thickBot="1">
      <c r="A132" s="72"/>
      <c r="B132" s="73"/>
      <c r="C132" s="74"/>
      <c r="D132" s="74"/>
      <c r="E132" s="75"/>
      <c r="F132" s="76"/>
      <c r="G132" s="77"/>
      <c r="H132" s="78"/>
      <c r="I132" s="74"/>
      <c r="J132" s="79"/>
      <c r="K132" s="80"/>
      <c r="L132" s="79"/>
      <c r="M132" s="311"/>
      <c r="N132" s="313"/>
      <c r="O132" s="59"/>
      <c r="Q132" s="675"/>
    </row>
    <row r="133" spans="1:17" ht="13.5" thickBot="1">
      <c r="G133" s="285"/>
    </row>
    <row r="134" spans="1:17" ht="13.5" thickBot="1">
      <c r="A134" s="989" t="s">
        <v>0</v>
      </c>
      <c r="B134" s="987" t="s">
        <v>1</v>
      </c>
      <c r="C134" s="987"/>
      <c r="D134" s="987"/>
      <c r="E134" s="987"/>
      <c r="F134" s="987"/>
      <c r="G134" s="987"/>
      <c r="H134" s="988" t="s">
        <v>2</v>
      </c>
      <c r="I134" s="988"/>
      <c r="J134" s="988"/>
      <c r="K134" s="988" t="s">
        <v>3</v>
      </c>
      <c r="L134" s="988"/>
      <c r="M134" s="989" t="s">
        <v>4</v>
      </c>
    </row>
    <row r="135" spans="1:17" ht="13.5" thickBot="1">
      <c r="A135" s="989"/>
      <c r="B135" s="699" t="s">
        <v>5</v>
      </c>
      <c r="C135" s="699" t="s">
        <v>6</v>
      </c>
      <c r="D135" s="699" t="s">
        <v>7</v>
      </c>
      <c r="E135" s="29" t="s">
        <v>8</v>
      </c>
      <c r="F135" s="28" t="s">
        <v>9</v>
      </c>
      <c r="G135" s="700" t="s">
        <v>10</v>
      </c>
      <c r="H135" s="28" t="s">
        <v>11</v>
      </c>
      <c r="I135" s="699" t="s">
        <v>12</v>
      </c>
      <c r="J135" s="700" t="s">
        <v>13</v>
      </c>
      <c r="K135" s="29" t="s">
        <v>11</v>
      </c>
      <c r="L135" s="700" t="s">
        <v>14</v>
      </c>
      <c r="M135" s="989"/>
    </row>
    <row r="136" spans="1:17" s="26" customFormat="1" hidden="1">
      <c r="A136" s="336" t="s">
        <v>214</v>
      </c>
      <c r="B136" s="337" t="s">
        <v>215</v>
      </c>
      <c r="C136" s="338">
        <v>42922</v>
      </c>
      <c r="D136" s="280" t="s">
        <v>16</v>
      </c>
      <c r="E136" s="339">
        <v>16500</v>
      </c>
      <c r="F136" s="340">
        <f>+E136*2.75975</f>
        <v>45535.875</v>
      </c>
      <c r="G136" s="281">
        <f t="shared" ref="G136:G154" si="6">+C136+60</f>
        <v>42982</v>
      </c>
      <c r="H136" s="279"/>
      <c r="I136" s="338"/>
      <c r="J136" s="281"/>
      <c r="K136" s="342">
        <v>16448</v>
      </c>
      <c r="L136" s="315"/>
      <c r="M136" s="343">
        <f>E136-K136</f>
        <v>52</v>
      </c>
      <c r="N136" s="331"/>
      <c r="O136" s="524"/>
      <c r="Q136" s="331"/>
    </row>
    <row r="137" spans="1:17" s="26" customFormat="1" hidden="1">
      <c r="A137" s="336" t="s">
        <v>214</v>
      </c>
      <c r="B137" s="337" t="s">
        <v>216</v>
      </c>
      <c r="C137" s="338">
        <v>42929</v>
      </c>
      <c r="D137" s="280" t="s">
        <v>16</v>
      </c>
      <c r="E137" s="339">
        <v>6020</v>
      </c>
      <c r="F137" s="340">
        <f>+E137*2.77865</f>
        <v>16727.472999999998</v>
      </c>
      <c r="G137" s="281">
        <f t="shared" si="6"/>
        <v>42989</v>
      </c>
      <c r="H137" s="279"/>
      <c r="I137" s="338"/>
      <c r="J137" s="281"/>
      <c r="K137" s="342">
        <v>6000</v>
      </c>
      <c r="L137" s="315"/>
      <c r="M137" s="343">
        <f t="shared" ref="M137:M154" si="7">E137-K137</f>
        <v>20</v>
      </c>
      <c r="N137" s="331"/>
      <c r="O137" s="375"/>
      <c r="Q137" s="331"/>
    </row>
    <row r="138" spans="1:17" s="26" customFormat="1" hidden="1">
      <c r="A138" s="336" t="s">
        <v>214</v>
      </c>
      <c r="B138" s="337" t="s">
        <v>217</v>
      </c>
      <c r="C138" s="338">
        <v>42936</v>
      </c>
      <c r="D138" s="280" t="s">
        <v>16</v>
      </c>
      <c r="E138" s="339">
        <v>16500</v>
      </c>
      <c r="F138" s="340">
        <f>+E138*2.78795</f>
        <v>46001.174999999996</v>
      </c>
      <c r="G138" s="281">
        <f t="shared" si="6"/>
        <v>42996</v>
      </c>
      <c r="H138" s="279"/>
      <c r="I138" s="338"/>
      <c r="J138" s="281"/>
      <c r="K138" s="342">
        <f>6500+10000</f>
        <v>16500</v>
      </c>
      <c r="L138" s="315"/>
      <c r="M138" s="343">
        <f t="shared" si="7"/>
        <v>0</v>
      </c>
      <c r="N138" s="331"/>
      <c r="O138" s="375"/>
      <c r="Q138" s="331"/>
    </row>
    <row r="139" spans="1:17" s="26" customFormat="1" hidden="1">
      <c r="A139" s="336" t="s">
        <v>214</v>
      </c>
      <c r="B139" s="337" t="s">
        <v>218</v>
      </c>
      <c r="C139" s="338">
        <v>42951</v>
      </c>
      <c r="D139" s="280" t="s">
        <v>16</v>
      </c>
      <c r="E139" s="339">
        <v>11215</v>
      </c>
      <c r="F139" s="340">
        <f>+E139*2.81145</f>
        <v>31530.411749999999</v>
      </c>
      <c r="G139" s="281">
        <f t="shared" si="6"/>
        <v>43011</v>
      </c>
      <c r="H139" s="279"/>
      <c r="I139" s="338"/>
      <c r="J139" s="281"/>
      <c r="K139" s="342">
        <v>11215</v>
      </c>
      <c r="L139" s="315"/>
      <c r="M139" s="343">
        <f t="shared" si="7"/>
        <v>0</v>
      </c>
      <c r="N139" s="331"/>
      <c r="O139" s="375"/>
      <c r="Q139" s="331"/>
    </row>
    <row r="140" spans="1:17" s="26" customFormat="1" hidden="1">
      <c r="A140" s="336" t="s">
        <v>214</v>
      </c>
      <c r="B140" s="337" t="s">
        <v>228</v>
      </c>
      <c r="C140" s="338">
        <v>42958</v>
      </c>
      <c r="D140" s="280" t="s">
        <v>16</v>
      </c>
      <c r="E140" s="339">
        <v>8140</v>
      </c>
      <c r="F140" s="340">
        <f>+E140*2.80365</f>
        <v>22821.711000000003</v>
      </c>
      <c r="G140" s="281">
        <f t="shared" si="6"/>
        <v>43018</v>
      </c>
      <c r="H140" s="279"/>
      <c r="I140" s="338"/>
      <c r="J140" s="281"/>
      <c r="K140" s="342">
        <v>8140</v>
      </c>
      <c r="L140" s="315"/>
      <c r="M140" s="343">
        <f t="shared" si="7"/>
        <v>0</v>
      </c>
      <c r="N140" s="331"/>
      <c r="O140" s="375"/>
      <c r="Q140" s="331"/>
    </row>
    <row r="141" spans="1:17" s="26" customFormat="1">
      <c r="A141" s="376" t="s">
        <v>214</v>
      </c>
      <c r="B141" s="316" t="s">
        <v>230</v>
      </c>
      <c r="C141" s="377">
        <v>42965</v>
      </c>
      <c r="D141" s="378" t="s">
        <v>16</v>
      </c>
      <c r="E141" s="379">
        <v>15050</v>
      </c>
      <c r="F141" s="317">
        <f>+E141*2.80865</f>
        <v>42270.182500000003</v>
      </c>
      <c r="G141" s="380">
        <f t="shared" si="6"/>
        <v>43025</v>
      </c>
      <c r="H141" s="381"/>
      <c r="I141" s="377"/>
      <c r="J141" s="380"/>
      <c r="K141" s="382"/>
      <c r="L141" s="383"/>
      <c r="M141" s="384">
        <f t="shared" si="7"/>
        <v>15050</v>
      </c>
      <c r="N141" s="331"/>
      <c r="O141" s="375"/>
      <c r="Q141" s="331"/>
    </row>
    <row r="142" spans="1:17" s="26" customFormat="1">
      <c r="A142" s="376" t="s">
        <v>214</v>
      </c>
      <c r="B142" s="316" t="s">
        <v>232</v>
      </c>
      <c r="C142" s="377">
        <v>42977</v>
      </c>
      <c r="D142" s="378" t="s">
        <v>16</v>
      </c>
      <c r="E142" s="379">
        <v>30250</v>
      </c>
      <c r="F142" s="317">
        <f>+E142*2.889</f>
        <v>87392.25</v>
      </c>
      <c r="G142" s="380">
        <f t="shared" si="6"/>
        <v>43037</v>
      </c>
      <c r="H142" s="381"/>
      <c r="I142" s="377"/>
      <c r="J142" s="380"/>
      <c r="K142" s="382"/>
      <c r="L142" s="383"/>
      <c r="M142" s="384">
        <f t="shared" si="7"/>
        <v>30250</v>
      </c>
      <c r="N142" s="331"/>
      <c r="O142" s="375"/>
      <c r="Q142" s="331"/>
    </row>
    <row r="143" spans="1:17" s="26" customFormat="1" hidden="1">
      <c r="A143" s="336" t="s">
        <v>214</v>
      </c>
      <c r="B143" s="337" t="s">
        <v>233</v>
      </c>
      <c r="C143" s="338">
        <v>42985</v>
      </c>
      <c r="D143" s="280" t="s">
        <v>16</v>
      </c>
      <c r="E143" s="339">
        <v>7200</v>
      </c>
      <c r="F143" s="340">
        <f>E143*2.893</f>
        <v>20829.599999999999</v>
      </c>
      <c r="G143" s="281">
        <f t="shared" si="6"/>
        <v>43045</v>
      </c>
      <c r="H143" s="279"/>
      <c r="I143" s="338"/>
      <c r="J143" s="281"/>
      <c r="K143" s="342">
        <v>7200</v>
      </c>
      <c r="L143" s="315"/>
      <c r="M143" s="343">
        <f t="shared" si="7"/>
        <v>0</v>
      </c>
      <c r="N143" s="331"/>
      <c r="O143" s="375"/>
      <c r="Q143" s="331"/>
    </row>
    <row r="144" spans="1:17" s="26" customFormat="1">
      <c r="A144" s="376" t="s">
        <v>214</v>
      </c>
      <c r="B144" s="316" t="s">
        <v>234</v>
      </c>
      <c r="C144" s="377">
        <v>42992</v>
      </c>
      <c r="D144" s="378" t="s">
        <v>16</v>
      </c>
      <c r="E144" s="379">
        <v>34946.269999999997</v>
      </c>
      <c r="F144" s="317">
        <f>+E144*2.899</f>
        <v>101309.23672999999</v>
      </c>
      <c r="G144" s="380">
        <f t="shared" si="6"/>
        <v>43052</v>
      </c>
      <c r="H144" s="381"/>
      <c r="I144" s="377"/>
      <c r="J144" s="380"/>
      <c r="K144" s="382"/>
      <c r="L144" s="383"/>
      <c r="M144" s="384">
        <f t="shared" si="7"/>
        <v>34946.269999999997</v>
      </c>
      <c r="N144" s="331"/>
      <c r="O144" s="375"/>
      <c r="Q144" s="331"/>
    </row>
    <row r="145" spans="1:17" s="26" customFormat="1">
      <c r="A145" s="376" t="s">
        <v>214</v>
      </c>
      <c r="B145" s="316" t="s">
        <v>237</v>
      </c>
      <c r="C145" s="377">
        <v>43006</v>
      </c>
      <c r="D145" s="378" t="s">
        <v>16</v>
      </c>
      <c r="E145" s="379">
        <v>44550</v>
      </c>
      <c r="F145" s="317">
        <f>+E145*2.893</f>
        <v>128883.15</v>
      </c>
      <c r="G145" s="380">
        <f t="shared" si="6"/>
        <v>43066</v>
      </c>
      <c r="H145" s="381"/>
      <c r="I145" s="377"/>
      <c r="J145" s="380"/>
      <c r="K145" s="382"/>
      <c r="L145" s="383"/>
      <c r="M145" s="384">
        <f t="shared" si="7"/>
        <v>44550</v>
      </c>
      <c r="N145" s="331"/>
      <c r="O145" s="375"/>
      <c r="Q145" s="331"/>
    </row>
    <row r="146" spans="1:17" s="26" customFormat="1">
      <c r="A146" s="376" t="s">
        <v>214</v>
      </c>
      <c r="B146" s="316" t="s">
        <v>240</v>
      </c>
      <c r="C146" s="377">
        <v>43019</v>
      </c>
      <c r="D146" s="378" t="s">
        <v>16</v>
      </c>
      <c r="E146" s="379">
        <v>27337.5</v>
      </c>
      <c r="F146" s="317">
        <f>+E146*2.9093</f>
        <v>79532.988750000004</v>
      </c>
      <c r="G146" s="380">
        <f t="shared" si="6"/>
        <v>43079</v>
      </c>
      <c r="H146" s="381"/>
      <c r="I146" s="377"/>
      <c r="J146" s="380"/>
      <c r="K146" s="382"/>
      <c r="L146" s="383"/>
      <c r="M146" s="384">
        <f t="shared" si="7"/>
        <v>27337.5</v>
      </c>
      <c r="N146" s="331"/>
      <c r="O146" s="375"/>
      <c r="Q146" s="331"/>
    </row>
    <row r="147" spans="1:17" s="26" customFormat="1">
      <c r="A147" s="376" t="s">
        <v>214</v>
      </c>
      <c r="B147" s="316" t="s">
        <v>260</v>
      </c>
      <c r="C147" s="377">
        <v>43034</v>
      </c>
      <c r="D147" s="378" t="s">
        <v>16</v>
      </c>
      <c r="E147" s="379">
        <v>15386.35</v>
      </c>
      <c r="F147" s="317">
        <f>+E147*2.9096</f>
        <v>44768.123960000004</v>
      </c>
      <c r="G147" s="380">
        <f t="shared" si="6"/>
        <v>43094</v>
      </c>
      <c r="H147" s="381"/>
      <c r="I147" s="377"/>
      <c r="J147" s="380"/>
      <c r="K147" s="382"/>
      <c r="L147" s="383"/>
      <c r="M147" s="384">
        <f t="shared" si="7"/>
        <v>15386.35</v>
      </c>
      <c r="N147" s="331"/>
      <c r="O147" s="375"/>
      <c r="Q147" s="331"/>
    </row>
    <row r="148" spans="1:17" s="26" customFormat="1" hidden="1">
      <c r="A148" s="336" t="s">
        <v>214</v>
      </c>
      <c r="B148" s="337" t="s">
        <v>269</v>
      </c>
      <c r="C148" s="338">
        <v>43054</v>
      </c>
      <c r="D148" s="280" t="s">
        <v>16</v>
      </c>
      <c r="E148" s="339">
        <v>13053.6</v>
      </c>
      <c r="F148" s="340">
        <f>+E148*2.9226</f>
        <v>38150.451359999999</v>
      </c>
      <c r="G148" s="281">
        <f t="shared" si="6"/>
        <v>43114</v>
      </c>
      <c r="H148" s="279"/>
      <c r="I148" s="338"/>
      <c r="J148" s="281"/>
      <c r="K148" s="342">
        <v>13053.6</v>
      </c>
      <c r="L148" s="315"/>
      <c r="M148" s="343">
        <f t="shared" si="7"/>
        <v>0</v>
      </c>
      <c r="N148" s="331"/>
      <c r="O148" s="375"/>
      <c r="Q148" s="331"/>
    </row>
    <row r="149" spans="1:17" s="44" customFormat="1" hidden="1">
      <c r="A149" s="336" t="s">
        <v>15</v>
      </c>
      <c r="B149" s="337" t="s">
        <v>279</v>
      </c>
      <c r="C149" s="338">
        <v>43075</v>
      </c>
      <c r="D149" s="280" t="s">
        <v>16</v>
      </c>
      <c r="E149" s="339">
        <v>20473.650000000001</v>
      </c>
      <c r="F149" s="340">
        <f>+E149*2.9164</f>
        <v>59709.352859999999</v>
      </c>
      <c r="G149" s="281">
        <f t="shared" si="6"/>
        <v>43135</v>
      </c>
      <c r="H149" s="279"/>
      <c r="I149" s="338"/>
      <c r="J149" s="281"/>
      <c r="K149" s="342">
        <v>20423.650000000001</v>
      </c>
      <c r="L149" s="315"/>
      <c r="M149" s="343">
        <f t="shared" si="7"/>
        <v>50</v>
      </c>
      <c r="N149" s="288"/>
      <c r="O149" s="580"/>
      <c r="Q149" s="288"/>
    </row>
    <row r="150" spans="1:17" s="44" customFormat="1" hidden="1">
      <c r="A150" s="336" t="s">
        <v>214</v>
      </c>
      <c r="B150" s="337" t="s">
        <v>280</v>
      </c>
      <c r="C150" s="338">
        <v>43075</v>
      </c>
      <c r="D150" s="280" t="s">
        <v>16</v>
      </c>
      <c r="E150" s="339">
        <v>21698.71</v>
      </c>
      <c r="F150" s="340">
        <f>+E150*2.9164</f>
        <v>63282.117843999993</v>
      </c>
      <c r="G150" s="281">
        <f t="shared" si="6"/>
        <v>43135</v>
      </c>
      <c r="H150" s="279"/>
      <c r="I150" s="338"/>
      <c r="J150" s="281"/>
      <c r="K150" s="342">
        <v>21642.81</v>
      </c>
      <c r="L150" s="281">
        <v>43098</v>
      </c>
      <c r="M150" s="343">
        <f t="shared" si="7"/>
        <v>55.899999999997817</v>
      </c>
      <c r="N150" s="288"/>
      <c r="O150" s="580"/>
      <c r="Q150" s="288"/>
    </row>
    <row r="151" spans="1:17" s="44" customFormat="1" hidden="1">
      <c r="A151" s="336" t="s">
        <v>214</v>
      </c>
      <c r="B151" s="337" t="s">
        <v>284</v>
      </c>
      <c r="C151" s="338">
        <v>43084</v>
      </c>
      <c r="D151" s="280" t="s">
        <v>16</v>
      </c>
      <c r="E151" s="339">
        <v>10090</v>
      </c>
      <c r="F151" s="340">
        <f>+E151*2.9214</f>
        <v>29476.926000000003</v>
      </c>
      <c r="G151" s="281">
        <f t="shared" si="6"/>
        <v>43144</v>
      </c>
      <c r="H151" s="279"/>
      <c r="I151" s="338"/>
      <c r="J151" s="281"/>
      <c r="K151" s="342">
        <v>10047.5</v>
      </c>
      <c r="L151" s="315"/>
      <c r="M151" s="343">
        <f t="shared" si="7"/>
        <v>42.5</v>
      </c>
      <c r="N151" s="288"/>
      <c r="O151" s="580"/>
      <c r="Q151" s="288"/>
    </row>
    <row r="152" spans="1:17" s="44" customFormat="1" hidden="1">
      <c r="A152" s="336" t="s">
        <v>214</v>
      </c>
      <c r="B152" s="337" t="s">
        <v>287</v>
      </c>
      <c r="C152" s="338">
        <v>43096</v>
      </c>
      <c r="D152" s="280" t="s">
        <v>16</v>
      </c>
      <c r="E152" s="339">
        <v>22074.959999999999</v>
      </c>
      <c r="F152" s="340">
        <f>+E152*2.9288</f>
        <v>64653.142847999996</v>
      </c>
      <c r="G152" s="281">
        <f t="shared" si="6"/>
        <v>43156</v>
      </c>
      <c r="H152" s="279"/>
      <c r="I152" s="338"/>
      <c r="J152" s="281"/>
      <c r="K152" s="342">
        <v>22018.31</v>
      </c>
      <c r="L152" s="315"/>
      <c r="M152" s="343">
        <f t="shared" si="7"/>
        <v>56.649999999997817</v>
      </c>
      <c r="N152" s="288"/>
      <c r="O152" s="580"/>
      <c r="Q152" s="288"/>
    </row>
    <row r="153" spans="1:17" s="44" customFormat="1" hidden="1">
      <c r="A153" s="336" t="s">
        <v>214</v>
      </c>
      <c r="B153" s="337" t="s">
        <v>290</v>
      </c>
      <c r="C153" s="338">
        <v>43111</v>
      </c>
      <c r="D153" s="280" t="s">
        <v>16</v>
      </c>
      <c r="E153" s="339">
        <v>28798.14</v>
      </c>
      <c r="F153" s="340">
        <f>+E153*2.9312</f>
        <v>84413.107967999997</v>
      </c>
      <c r="G153" s="281">
        <f t="shared" si="6"/>
        <v>43171</v>
      </c>
      <c r="H153" s="279"/>
      <c r="I153" s="338"/>
      <c r="J153" s="281"/>
      <c r="K153" s="342">
        <v>28773.14</v>
      </c>
      <c r="L153" s="315"/>
      <c r="M153" s="343">
        <f t="shared" si="7"/>
        <v>25</v>
      </c>
      <c r="N153" s="288"/>
      <c r="O153" s="580"/>
      <c r="Q153" s="288"/>
    </row>
    <row r="154" spans="1:17" s="44" customFormat="1" hidden="1">
      <c r="A154" s="336" t="s">
        <v>292</v>
      </c>
      <c r="B154" s="337" t="s">
        <v>293</v>
      </c>
      <c r="C154" s="338">
        <v>43124</v>
      </c>
      <c r="D154" s="280" t="s">
        <v>16</v>
      </c>
      <c r="E154" s="339">
        <v>30983.22</v>
      </c>
      <c r="F154" s="340">
        <f>+E154*2.9437</f>
        <v>91205.304714000013</v>
      </c>
      <c r="G154" s="281">
        <f t="shared" si="6"/>
        <v>43184</v>
      </c>
      <c r="H154" s="279"/>
      <c r="I154" s="338"/>
      <c r="J154" s="281"/>
      <c r="K154" s="342">
        <v>30983.22</v>
      </c>
      <c r="L154" s="315"/>
      <c r="M154" s="343">
        <f t="shared" si="7"/>
        <v>0</v>
      </c>
      <c r="N154" s="288"/>
      <c r="O154" s="580"/>
      <c r="Q154" s="288"/>
    </row>
    <row r="155" spans="1:17" ht="13.5" thickBot="1">
      <c r="A155" s="9"/>
      <c r="B155" s="10"/>
      <c r="C155" s="11"/>
      <c r="D155" s="12"/>
      <c r="E155" s="13"/>
      <c r="F155" s="14"/>
      <c r="G155" s="15"/>
      <c r="H155" s="16"/>
      <c r="I155" s="11"/>
      <c r="J155" s="15"/>
      <c r="K155" s="17"/>
      <c r="L155" s="18"/>
      <c r="M155" s="19"/>
    </row>
    <row r="156" spans="1:17" ht="13.5" thickBot="1">
      <c r="G156" s="284"/>
    </row>
    <row r="157" spans="1:17" ht="13.5" thickBot="1">
      <c r="B157" s="258" t="s">
        <v>47</v>
      </c>
      <c r="C157" s="374" t="s">
        <v>48</v>
      </c>
      <c r="D157" s="979" t="s">
        <v>9</v>
      </c>
      <c r="E157" s="980"/>
    </row>
    <row r="158" spans="1:17">
      <c r="A158" s="251" t="s">
        <v>20</v>
      </c>
      <c r="B158" s="256"/>
      <c r="C158" s="257"/>
      <c r="D158" s="983"/>
      <c r="E158" s="984"/>
    </row>
    <row r="159" spans="1:17">
      <c r="A159" s="252">
        <v>2017</v>
      </c>
      <c r="B159" s="246">
        <f>M113+M114+M115</f>
        <v>262990.76</v>
      </c>
      <c r="C159" s="247"/>
      <c r="D159" s="973"/>
      <c r="E159" s="974"/>
    </row>
    <row r="160" spans="1:17">
      <c r="A160" s="253">
        <v>2018</v>
      </c>
      <c r="B160" s="246">
        <f>M116+M117+M121+M124+M127+M129+M130</f>
        <v>651514.72000000009</v>
      </c>
      <c r="C160" s="247"/>
      <c r="D160" s="981">
        <v>0</v>
      </c>
      <c r="E160" s="982"/>
    </row>
    <row r="161" spans="1:13">
      <c r="A161" s="8" t="s">
        <v>15</v>
      </c>
      <c r="B161" s="246">
        <f>M97+M112</f>
        <v>67627.22</v>
      </c>
      <c r="C161" s="248">
        <v>0</v>
      </c>
      <c r="D161" s="973"/>
      <c r="E161" s="974"/>
    </row>
    <row r="162" spans="1:13">
      <c r="A162" s="8" t="s">
        <v>17</v>
      </c>
      <c r="B162" s="249"/>
      <c r="C162" s="250">
        <f>M26+M28+M30</f>
        <v>97093.42</v>
      </c>
      <c r="D162" s="973"/>
      <c r="E162" s="974"/>
    </row>
    <row r="163" spans="1:13">
      <c r="A163" s="332" t="s">
        <v>292</v>
      </c>
      <c r="B163" s="334">
        <f>M118</f>
        <v>3120.6399999999994</v>
      </c>
      <c r="C163" s="333"/>
      <c r="D163" s="973"/>
      <c r="E163" s="974"/>
    </row>
    <row r="164" spans="1:13">
      <c r="A164" s="332" t="s">
        <v>314</v>
      </c>
      <c r="B164" s="334">
        <f>M120+M123+M125+M126+M128+M131</f>
        <v>401305.63999999996</v>
      </c>
      <c r="C164" s="333"/>
      <c r="D164" s="973"/>
      <c r="E164" s="974"/>
    </row>
    <row r="165" spans="1:13">
      <c r="A165" s="332" t="s">
        <v>207</v>
      </c>
      <c r="B165" s="334">
        <f>M141+M142+M143+M144+M145+M146+M147</f>
        <v>167520.12</v>
      </c>
      <c r="C165" s="333"/>
      <c r="D165" s="973"/>
      <c r="E165" s="974"/>
    </row>
    <row r="166" spans="1:13" ht="13.5" thickBot="1">
      <c r="A166" s="9" t="s">
        <v>151</v>
      </c>
      <c r="B166" s="10"/>
      <c r="C166" s="13">
        <f>+M84</f>
        <v>60082</v>
      </c>
      <c r="D166" s="975"/>
      <c r="E166" s="976"/>
    </row>
    <row r="167" spans="1:13" ht="13.5" thickBot="1">
      <c r="B167" s="254">
        <f>SUM(B158:B166)</f>
        <v>1554079.1</v>
      </c>
      <c r="C167" s="255">
        <f>SUM(C158:C166)</f>
        <v>157175.41999999998</v>
      </c>
      <c r="D167" s="977">
        <f>SUM(D158:D166)</f>
        <v>0</v>
      </c>
      <c r="E167" s="978"/>
    </row>
    <row r="169" spans="1:13">
      <c r="B169" s="3"/>
      <c r="C169" s="3"/>
    </row>
    <row r="170" spans="1:13">
      <c r="B170" s="2"/>
    </row>
    <row r="175" spans="1:13">
      <c r="M175" s="528"/>
    </row>
  </sheetData>
  <autoFilter ref="A1:A167"/>
  <mergeCells count="26">
    <mergeCell ref="A134:A135"/>
    <mergeCell ref="B134:G134"/>
    <mergeCell ref="H134:J134"/>
    <mergeCell ref="K134:L134"/>
    <mergeCell ref="M134:M135"/>
    <mergeCell ref="A2:A3"/>
    <mergeCell ref="B2:G2"/>
    <mergeCell ref="H2:J2"/>
    <mergeCell ref="K2:L2"/>
    <mergeCell ref="M2:M3"/>
    <mergeCell ref="A33:A34"/>
    <mergeCell ref="B33:G33"/>
    <mergeCell ref="H33:J33"/>
    <mergeCell ref="K33:L33"/>
    <mergeCell ref="M33:M34"/>
    <mergeCell ref="D162:E162"/>
    <mergeCell ref="D166:E166"/>
    <mergeCell ref="D167:E167"/>
    <mergeCell ref="D157:E157"/>
    <mergeCell ref="D160:E160"/>
    <mergeCell ref="D158:E158"/>
    <mergeCell ref="D159:E159"/>
    <mergeCell ref="D161:E161"/>
    <mergeCell ref="D165:E165"/>
    <mergeCell ref="D163:E163"/>
    <mergeCell ref="D164:E16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ignoredErrors>
    <ignoredError sqref="F44 G48 G73 G76:G78 G80 G87 G90:G92 G19 F27:G27 G29 M1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6"/>
  <sheetViews>
    <sheetView workbookViewId="0">
      <selection activeCell="E29" sqref="E29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990" t="s">
        <v>120</v>
      </c>
      <c r="B3" s="990"/>
      <c r="C3" s="990"/>
      <c r="D3" s="990"/>
      <c r="E3" s="990"/>
      <c r="F3" s="990"/>
      <c r="G3" s="990"/>
      <c r="H3" s="990"/>
    </row>
    <row r="4" spans="1:9" ht="15.75">
      <c r="A4" s="991" t="s">
        <v>171</v>
      </c>
      <c r="B4" s="991"/>
      <c r="C4" s="991"/>
      <c r="D4" s="991"/>
      <c r="E4" s="991"/>
      <c r="F4" s="991"/>
      <c r="G4" s="991"/>
      <c r="H4" s="991"/>
    </row>
    <row r="5" spans="1:9" ht="15.75" thickBot="1"/>
    <row r="6" spans="1:9" ht="15.75" thickBot="1">
      <c r="B6" s="121" t="s">
        <v>119</v>
      </c>
      <c r="C6" s="120" t="s">
        <v>118</v>
      </c>
      <c r="D6" s="119" t="s">
        <v>117</v>
      </c>
      <c r="E6" s="118" t="s">
        <v>116</v>
      </c>
      <c r="F6" s="117" t="s">
        <v>115</v>
      </c>
      <c r="G6" s="117" t="s">
        <v>10</v>
      </c>
      <c r="H6" s="116" t="s">
        <v>114</v>
      </c>
    </row>
    <row r="7" spans="1:9" s="106" customFormat="1" ht="15.75" thickBot="1">
      <c r="A7" s="394" t="s">
        <v>113</v>
      </c>
      <c r="B7" s="395"/>
      <c r="C7" s="396"/>
      <c r="D7" s="397"/>
      <c r="E7" s="398"/>
      <c r="F7" s="399"/>
      <c r="G7" s="400"/>
      <c r="H7" s="401"/>
    </row>
    <row r="8" spans="1:9" ht="15.75" thickBot="1">
      <c r="A8" s="992" t="s">
        <v>107</v>
      </c>
      <c r="B8" s="993"/>
      <c r="C8" s="993"/>
      <c r="D8" s="994"/>
      <c r="E8" s="115">
        <f>SUM(E7)</f>
        <v>0</v>
      </c>
      <c r="G8" s="101"/>
    </row>
    <row r="9" spans="1:9" ht="15.75" thickBot="1">
      <c r="C9" s="104"/>
    </row>
    <row r="10" spans="1:9" s="106" customFormat="1" ht="15.75" thickBot="1">
      <c r="A10" s="122" t="s">
        <v>45</v>
      </c>
      <c r="B10" s="114"/>
      <c r="C10" s="113"/>
      <c r="D10" s="112"/>
      <c r="E10" s="111"/>
      <c r="F10" s="110"/>
      <c r="G10" s="109"/>
      <c r="H10" s="108"/>
      <c r="I10" s="107"/>
    </row>
    <row r="11" spans="1:9" ht="15.75" thickBot="1">
      <c r="A11" s="992" t="s">
        <v>107</v>
      </c>
      <c r="B11" s="993"/>
      <c r="C11" s="993"/>
      <c r="D11" s="994"/>
      <c r="E11" s="105">
        <f>SUM(E10:E10)</f>
        <v>0</v>
      </c>
      <c r="G11" s="101"/>
    </row>
    <row r="12" spans="1:9">
      <c r="G12" s="101"/>
    </row>
    <row r="13" spans="1:9">
      <c r="B13" s="104"/>
      <c r="C13" s="104"/>
      <c r="E13" s="102"/>
      <c r="F13" s="101"/>
      <c r="G13" s="101"/>
    </row>
    <row r="14" spans="1:9">
      <c r="C14" s="102"/>
      <c r="D14" s="46"/>
      <c r="F14" s="101"/>
      <c r="G14" s="327"/>
    </row>
    <row r="15" spans="1:9">
      <c r="B15" s="102"/>
      <c r="C15" s="102"/>
      <c r="D15" s="46"/>
      <c r="E15" s="46"/>
      <c r="F15" s="101"/>
      <c r="G15" s="101"/>
    </row>
    <row r="16" spans="1:9">
      <c r="C16" s="102"/>
      <c r="F16" s="289"/>
      <c r="G16" s="103"/>
      <c r="H16" s="103"/>
    </row>
    <row r="17" spans="1:12">
      <c r="C17" s="46"/>
      <c r="E17" s="103"/>
      <c r="F17" s="289"/>
      <c r="G17" s="103"/>
      <c r="H17" s="103"/>
    </row>
    <row r="18" spans="1:12">
      <c r="C18" s="102"/>
      <c r="F18" s="101"/>
    </row>
    <row r="19" spans="1:12">
      <c r="A19" s="102"/>
      <c r="C19" s="267"/>
    </row>
    <row r="20" spans="1:12">
      <c r="C20" s="267"/>
      <c r="L20" s="101"/>
    </row>
    <row r="21" spans="1:12">
      <c r="C21" s="282"/>
      <c r="F21" s="101"/>
      <c r="L21" s="101"/>
    </row>
    <row r="22" spans="1:12">
      <c r="C22" s="102"/>
      <c r="F22" s="101"/>
    </row>
    <row r="23" spans="1:12">
      <c r="C23" s="46"/>
      <c r="D23" s="270"/>
      <c r="F23" s="101"/>
    </row>
    <row r="24" spans="1:12">
      <c r="F24" s="101"/>
    </row>
    <row r="25" spans="1:12">
      <c r="F25" s="101"/>
    </row>
    <row r="26" spans="1:12">
      <c r="C26" s="46"/>
      <c r="F26" s="101"/>
    </row>
  </sheetData>
  <mergeCells count="4">
    <mergeCell ref="A3:H3"/>
    <mergeCell ref="A4:H4"/>
    <mergeCell ref="A8:D8"/>
    <mergeCell ref="A11:D11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05"/>
  <sheetViews>
    <sheetView topLeftCell="A153" zoomScale="85" zoomScaleNormal="85" workbookViewId="0">
      <selection activeCell="M211" sqref="M211"/>
    </sheetView>
  </sheetViews>
  <sheetFormatPr baseColWidth="10" defaultRowHeight="12.75"/>
  <cols>
    <col min="1" max="1" width="1.5703125" style="26" customWidth="1"/>
    <col min="2" max="2" width="10.85546875" style="434" bestFit="1" customWidth="1"/>
    <col min="3" max="3" width="18.85546875" style="26" bestFit="1" customWidth="1"/>
    <col min="4" max="4" width="4" style="435" bestFit="1" customWidth="1"/>
    <col min="5" max="5" width="19.140625" style="331" bestFit="1" customWidth="1"/>
    <col min="6" max="7" width="11.7109375" style="426" bestFit="1" customWidth="1"/>
    <col min="8" max="8" width="10.28515625" style="426" bestFit="1" customWidth="1"/>
    <col min="9" max="9" width="12.7109375" style="426" bestFit="1" customWidth="1"/>
    <col min="10" max="10" width="9.5703125" style="26" bestFit="1" customWidth="1"/>
    <col min="11" max="11" width="12.42578125" style="435" bestFit="1" customWidth="1"/>
    <col min="12" max="12" width="7.5703125" style="435" bestFit="1" customWidth="1"/>
    <col min="13" max="13" width="12.7109375" style="426" bestFit="1" customWidth="1"/>
    <col min="14" max="14" width="11.85546875" style="436" bestFit="1" customWidth="1"/>
    <col min="15" max="15" width="9.42578125" style="437" bestFit="1" customWidth="1"/>
    <col min="16" max="16" width="38" style="483" bestFit="1" customWidth="1"/>
    <col min="17" max="17" width="5" style="478" bestFit="1" customWidth="1"/>
    <col min="18" max="16384" width="11.42578125" style="26"/>
  </cols>
  <sheetData>
    <row r="1" spans="2:17" s="472" customFormat="1" ht="25.5">
      <c r="B1" s="453" t="s">
        <v>183</v>
      </c>
      <c r="C1" s="454" t="s">
        <v>184</v>
      </c>
      <c r="D1" s="454" t="s">
        <v>185</v>
      </c>
      <c r="E1" s="455" t="s">
        <v>186</v>
      </c>
      <c r="F1" s="456" t="s">
        <v>187</v>
      </c>
      <c r="G1" s="456" t="s">
        <v>189</v>
      </c>
      <c r="H1" s="456" t="s">
        <v>190</v>
      </c>
      <c r="I1" s="456" t="s">
        <v>191</v>
      </c>
      <c r="J1" s="454" t="s">
        <v>192</v>
      </c>
      <c r="K1" s="454" t="s">
        <v>193</v>
      </c>
      <c r="L1" s="454" t="s">
        <v>188</v>
      </c>
      <c r="M1" s="456" t="s">
        <v>11</v>
      </c>
      <c r="N1" s="457" t="s">
        <v>10</v>
      </c>
      <c r="O1" s="458" t="s">
        <v>194</v>
      </c>
      <c r="P1" s="458" t="s">
        <v>248</v>
      </c>
      <c r="Q1" s="471" t="s">
        <v>247</v>
      </c>
    </row>
    <row r="2" spans="2:17" s="44" customFormat="1" hidden="1">
      <c r="B2" s="412">
        <v>42751</v>
      </c>
      <c r="C2" s="413" t="s">
        <v>198</v>
      </c>
      <c r="D2" s="414" t="s">
        <v>195</v>
      </c>
      <c r="E2" s="415">
        <v>2086</v>
      </c>
      <c r="F2" s="371">
        <v>32.200000000000003</v>
      </c>
      <c r="G2" s="371">
        <f>+E2*F2</f>
        <v>67169.200000000012</v>
      </c>
      <c r="H2" s="371">
        <f>G2*0.18</f>
        <v>12090.456000000002</v>
      </c>
      <c r="I2" s="371">
        <f>+G2+H2</f>
        <v>79259.656000000017</v>
      </c>
      <c r="J2" s="413" t="s">
        <v>196</v>
      </c>
      <c r="K2" s="414">
        <v>3909</v>
      </c>
      <c r="L2" s="414" t="s">
        <v>46</v>
      </c>
      <c r="M2" s="371">
        <v>15192</v>
      </c>
      <c r="N2" s="424">
        <v>42901</v>
      </c>
      <c r="O2" s="417" t="s">
        <v>102</v>
      </c>
      <c r="P2" s="996" t="s">
        <v>246</v>
      </c>
      <c r="Q2" s="999" t="s">
        <v>46</v>
      </c>
    </row>
    <row r="3" spans="2:17" s="44" customFormat="1" hidden="1">
      <c r="B3" s="406">
        <v>42759</v>
      </c>
      <c r="C3" s="407" t="s">
        <v>198</v>
      </c>
      <c r="D3" s="408" t="s">
        <v>195</v>
      </c>
      <c r="E3" s="409">
        <v>993</v>
      </c>
      <c r="F3" s="372">
        <v>32.200000000000003</v>
      </c>
      <c r="G3" s="372">
        <f>+E3*F3</f>
        <v>31974.600000000002</v>
      </c>
      <c r="H3" s="372">
        <f>G3*0.18</f>
        <v>5755.4279999999999</v>
      </c>
      <c r="I3" s="372">
        <f>+G3+H3</f>
        <v>37730.028000000006</v>
      </c>
      <c r="J3" s="372" t="s">
        <v>196</v>
      </c>
      <c r="K3" s="408">
        <v>3778</v>
      </c>
      <c r="L3" s="408" t="s">
        <v>46</v>
      </c>
      <c r="M3" s="372">
        <v>75000</v>
      </c>
      <c r="N3" s="425">
        <v>42793</v>
      </c>
      <c r="O3" s="411" t="s">
        <v>102</v>
      </c>
      <c r="P3" s="997"/>
      <c r="Q3" s="1000"/>
    </row>
    <row r="4" spans="2:17" hidden="1">
      <c r="B4" s="406">
        <v>42810</v>
      </c>
      <c r="C4" s="407" t="s">
        <v>198</v>
      </c>
      <c r="D4" s="408" t="s">
        <v>195</v>
      </c>
      <c r="E4" s="409">
        <v>1100</v>
      </c>
      <c r="F4" s="372">
        <v>32.200000000000003</v>
      </c>
      <c r="G4" s="372">
        <f>+E4*F4</f>
        <v>35420</v>
      </c>
      <c r="H4" s="372">
        <f>G4*0.18</f>
        <v>6375.5999999999995</v>
      </c>
      <c r="I4" s="372">
        <f>+G4+H4</f>
        <v>41795.599999999999</v>
      </c>
      <c r="J4" s="407" t="s">
        <v>196</v>
      </c>
      <c r="K4" s="408">
        <v>3858</v>
      </c>
      <c r="L4" s="408" t="s">
        <v>46</v>
      </c>
      <c r="M4" s="372">
        <v>35000</v>
      </c>
      <c r="N4" s="410">
        <v>42842</v>
      </c>
      <c r="O4" s="411" t="s">
        <v>102</v>
      </c>
      <c r="P4" s="997"/>
      <c r="Q4" s="1000"/>
    </row>
    <row r="5" spans="2:17" ht="13.5" hidden="1" thickBot="1">
      <c r="B5" s="418"/>
      <c r="C5" s="419"/>
      <c r="D5" s="420"/>
      <c r="E5" s="421"/>
      <c r="F5" s="373"/>
      <c r="G5" s="373"/>
      <c r="H5" s="373"/>
      <c r="I5" s="373"/>
      <c r="J5" s="419" t="s">
        <v>196</v>
      </c>
      <c r="K5" s="420">
        <v>3910</v>
      </c>
      <c r="L5" s="420" t="s">
        <v>46</v>
      </c>
      <c r="M5" s="373">
        <v>33593.784</v>
      </c>
      <c r="N5" s="422">
        <v>42865</v>
      </c>
      <c r="O5" s="423" t="s">
        <v>102</v>
      </c>
      <c r="P5" s="998"/>
      <c r="Q5" s="1001"/>
    </row>
    <row r="6" spans="2:17" s="295" customFormat="1" ht="13.5" hidden="1" thickBot="1">
      <c r="B6" s="462"/>
      <c r="D6" s="463"/>
      <c r="E6" s="464"/>
      <c r="F6" s="306"/>
      <c r="G6" s="306"/>
      <c r="H6" s="306"/>
      <c r="I6" s="306"/>
      <c r="K6" s="463"/>
      <c r="L6" s="463"/>
      <c r="M6" s="306"/>
      <c r="N6" s="465"/>
      <c r="O6" s="307"/>
      <c r="P6" s="481"/>
      <c r="Q6" s="482"/>
    </row>
    <row r="7" spans="2:17" hidden="1">
      <c r="B7" s="412">
        <v>42784</v>
      </c>
      <c r="C7" s="413" t="s">
        <v>197</v>
      </c>
      <c r="D7" s="414" t="s">
        <v>195</v>
      </c>
      <c r="E7" s="415">
        <v>30905</v>
      </c>
      <c r="F7" s="371">
        <v>4.22</v>
      </c>
      <c r="G7" s="371">
        <f>+E7*F7</f>
        <v>130419.09999999999</v>
      </c>
      <c r="H7" s="371">
        <f>G7*0.18</f>
        <v>23475.437999999998</v>
      </c>
      <c r="I7" s="371">
        <f>+G7+H7</f>
        <v>153894.538</v>
      </c>
      <c r="J7" s="371" t="s">
        <v>196</v>
      </c>
      <c r="K7" s="414">
        <v>150</v>
      </c>
      <c r="L7" s="414" t="s">
        <v>45</v>
      </c>
      <c r="M7" s="371">
        <v>60000</v>
      </c>
      <c r="N7" s="424">
        <v>42751</v>
      </c>
      <c r="O7" s="417" t="s">
        <v>102</v>
      </c>
      <c r="P7" s="996" t="s">
        <v>246</v>
      </c>
      <c r="Q7" s="999" t="s">
        <v>45</v>
      </c>
    </row>
    <row r="8" spans="2:17" hidden="1">
      <c r="B8" s="406">
        <v>42795</v>
      </c>
      <c r="C8" s="407" t="s">
        <v>197</v>
      </c>
      <c r="D8" s="408" t="s">
        <v>195</v>
      </c>
      <c r="E8" s="409">
        <v>15460</v>
      </c>
      <c r="F8" s="372">
        <v>4.22</v>
      </c>
      <c r="G8" s="372">
        <f>+E8*F8</f>
        <v>65241.2</v>
      </c>
      <c r="H8" s="372">
        <f>G8*0.18</f>
        <v>11743.415999999999</v>
      </c>
      <c r="I8" s="372">
        <f>+G8+H8</f>
        <v>76984.615999999995</v>
      </c>
      <c r="J8" s="372" t="s">
        <v>196</v>
      </c>
      <c r="K8" s="408">
        <v>345</v>
      </c>
      <c r="L8" s="408" t="s">
        <v>45</v>
      </c>
      <c r="M8" s="372">
        <v>80000</v>
      </c>
      <c r="N8" s="425">
        <v>42811</v>
      </c>
      <c r="O8" s="411" t="s">
        <v>102</v>
      </c>
      <c r="P8" s="997"/>
      <c r="Q8" s="1000"/>
    </row>
    <row r="9" spans="2:17" hidden="1">
      <c r="B9" s="406">
        <v>42808</v>
      </c>
      <c r="C9" s="407" t="s">
        <v>197</v>
      </c>
      <c r="D9" s="408" t="s">
        <v>195</v>
      </c>
      <c r="E9" s="409">
        <v>16380</v>
      </c>
      <c r="F9" s="372">
        <v>4.22</v>
      </c>
      <c r="G9" s="372">
        <f>+E9*F9</f>
        <v>69123.599999999991</v>
      </c>
      <c r="H9" s="372">
        <f>G9*0.18</f>
        <v>12442.247999999998</v>
      </c>
      <c r="I9" s="372">
        <f>+G9+H9</f>
        <v>81565.847999999984</v>
      </c>
      <c r="J9" s="407" t="s">
        <v>196</v>
      </c>
      <c r="K9" s="408">
        <v>372</v>
      </c>
      <c r="L9" s="408" t="s">
        <v>45</v>
      </c>
      <c r="M9" s="372">
        <v>50000</v>
      </c>
      <c r="N9" s="425">
        <v>42828</v>
      </c>
      <c r="O9" s="411" t="s">
        <v>102</v>
      </c>
      <c r="P9" s="997"/>
      <c r="Q9" s="1000"/>
    </row>
    <row r="10" spans="2:17" hidden="1">
      <c r="B10" s="406">
        <v>42825</v>
      </c>
      <c r="C10" s="407" t="s">
        <v>197</v>
      </c>
      <c r="D10" s="408" t="s">
        <v>195</v>
      </c>
      <c r="E10" s="409">
        <v>5986</v>
      </c>
      <c r="F10" s="372">
        <v>4.22</v>
      </c>
      <c r="G10" s="372">
        <f>+E10*F10</f>
        <v>25260.92</v>
      </c>
      <c r="H10" s="372">
        <f>G10*0.18</f>
        <v>4546.9655999999995</v>
      </c>
      <c r="I10" s="372">
        <f>+G10+H10</f>
        <v>29807.885599999998</v>
      </c>
      <c r="J10" s="407" t="s">
        <v>196</v>
      </c>
      <c r="K10" s="408">
        <v>411</v>
      </c>
      <c r="L10" s="408" t="s">
        <v>45</v>
      </c>
      <c r="M10" s="372">
        <v>35000</v>
      </c>
      <c r="N10" s="410">
        <v>42842</v>
      </c>
      <c r="O10" s="411" t="s">
        <v>102</v>
      </c>
      <c r="P10" s="997"/>
      <c r="Q10" s="1000"/>
    </row>
    <row r="11" spans="2:17" ht="13.5" hidden="1" thickBot="1">
      <c r="B11" s="418">
        <v>42836</v>
      </c>
      <c r="C11" s="419" t="s">
        <v>197</v>
      </c>
      <c r="D11" s="420" t="s">
        <v>195</v>
      </c>
      <c r="E11" s="421">
        <v>4995</v>
      </c>
      <c r="F11" s="373">
        <v>4.22</v>
      </c>
      <c r="G11" s="373">
        <f>+E11*F11</f>
        <v>21078.899999999998</v>
      </c>
      <c r="H11" s="373">
        <f>G11*0.18</f>
        <v>3794.2019999999993</v>
      </c>
      <c r="I11" s="373">
        <f>+G11+H11</f>
        <v>24873.101999999999</v>
      </c>
      <c r="J11" s="419" t="s">
        <v>196</v>
      </c>
      <c r="K11" s="420">
        <v>482</v>
      </c>
      <c r="L11" s="420" t="s">
        <v>45</v>
      </c>
      <c r="M11" s="373">
        <v>142126.49</v>
      </c>
      <c r="N11" s="422">
        <v>42865</v>
      </c>
      <c r="O11" s="423" t="s">
        <v>102</v>
      </c>
      <c r="P11" s="998"/>
      <c r="Q11" s="1001"/>
    </row>
    <row r="12" spans="2:17" s="295" customFormat="1" ht="13.5" hidden="1" thickBot="1">
      <c r="B12" s="462"/>
      <c r="D12" s="463"/>
      <c r="E12" s="464"/>
      <c r="F12" s="306"/>
      <c r="G12" s="306"/>
      <c r="H12" s="306"/>
      <c r="I12" s="306"/>
      <c r="K12" s="463"/>
      <c r="L12" s="463"/>
      <c r="M12" s="306"/>
      <c r="N12" s="465"/>
      <c r="O12" s="307"/>
      <c r="P12" s="481"/>
      <c r="Q12" s="482"/>
    </row>
    <row r="13" spans="2:17" hidden="1">
      <c r="B13" s="412">
        <v>42838</v>
      </c>
      <c r="C13" s="413" t="s">
        <v>197</v>
      </c>
      <c r="D13" s="414" t="s">
        <v>195</v>
      </c>
      <c r="E13" s="415">
        <v>3694</v>
      </c>
      <c r="F13" s="371">
        <v>4.0999999999999996</v>
      </c>
      <c r="G13" s="371">
        <f t="shared" ref="G13:G31" si="0">+E13*F13</f>
        <v>15145.399999999998</v>
      </c>
      <c r="H13" s="371">
        <f t="shared" ref="H13:H31" si="1">+G13*0.18</f>
        <v>2726.1719999999996</v>
      </c>
      <c r="I13" s="371">
        <f t="shared" ref="I13:I31" si="2">+H13+G13</f>
        <v>17871.571999999996</v>
      </c>
      <c r="J13" s="413" t="s">
        <v>196</v>
      </c>
      <c r="K13" s="414">
        <v>525</v>
      </c>
      <c r="L13" s="414" t="s">
        <v>45</v>
      </c>
      <c r="M13" s="371">
        <v>60000</v>
      </c>
      <c r="N13" s="416">
        <v>42877</v>
      </c>
      <c r="O13" s="417" t="s">
        <v>102</v>
      </c>
      <c r="P13" s="996" t="s">
        <v>249</v>
      </c>
      <c r="Q13" s="999" t="s">
        <v>45</v>
      </c>
    </row>
    <row r="14" spans="2:17" hidden="1">
      <c r="B14" s="406">
        <v>42849</v>
      </c>
      <c r="C14" s="407" t="s">
        <v>197</v>
      </c>
      <c r="D14" s="408" t="s">
        <v>195</v>
      </c>
      <c r="E14" s="409">
        <v>6403</v>
      </c>
      <c r="F14" s="372">
        <v>4.0999999999999996</v>
      </c>
      <c r="G14" s="372">
        <f t="shared" si="0"/>
        <v>26252.3</v>
      </c>
      <c r="H14" s="372">
        <f t="shared" si="1"/>
        <v>4725.4139999999998</v>
      </c>
      <c r="I14" s="372">
        <f t="shared" si="2"/>
        <v>30977.714</v>
      </c>
      <c r="J14" s="407" t="s">
        <v>196</v>
      </c>
      <c r="K14" s="408">
        <v>621</v>
      </c>
      <c r="L14" s="408" t="s">
        <v>45</v>
      </c>
      <c r="M14" s="372">
        <v>80000</v>
      </c>
      <c r="N14" s="410">
        <v>42901</v>
      </c>
      <c r="O14" s="411" t="s">
        <v>102</v>
      </c>
      <c r="P14" s="997"/>
      <c r="Q14" s="1000"/>
    </row>
    <row r="15" spans="2:17" hidden="1">
      <c r="B15" s="406">
        <v>42867</v>
      </c>
      <c r="C15" s="407" t="s">
        <v>197</v>
      </c>
      <c r="D15" s="408" t="s">
        <v>195</v>
      </c>
      <c r="E15" s="409">
        <v>6510</v>
      </c>
      <c r="F15" s="372">
        <v>4.0999999999999996</v>
      </c>
      <c r="G15" s="372">
        <f t="shared" si="0"/>
        <v>26690.999999999996</v>
      </c>
      <c r="H15" s="372">
        <f t="shared" si="1"/>
        <v>4804.3799999999992</v>
      </c>
      <c r="I15" s="372">
        <f t="shared" si="2"/>
        <v>31495.379999999997</v>
      </c>
      <c r="J15" s="407" t="s">
        <v>196</v>
      </c>
      <c r="K15" s="408">
        <v>739</v>
      </c>
      <c r="L15" s="408" t="s">
        <v>45</v>
      </c>
      <c r="M15" s="372">
        <v>100000</v>
      </c>
      <c r="N15" s="410">
        <v>42940</v>
      </c>
      <c r="O15" s="411" t="s">
        <v>102</v>
      </c>
      <c r="P15" s="997"/>
      <c r="Q15" s="1000"/>
    </row>
    <row r="16" spans="2:17" hidden="1">
      <c r="B16" s="406">
        <v>42879</v>
      </c>
      <c r="C16" s="407" t="s">
        <v>197</v>
      </c>
      <c r="D16" s="408" t="s">
        <v>195</v>
      </c>
      <c r="E16" s="409">
        <v>5998</v>
      </c>
      <c r="F16" s="372">
        <v>4.0999999999999996</v>
      </c>
      <c r="G16" s="372">
        <f t="shared" si="0"/>
        <v>24591.8</v>
      </c>
      <c r="H16" s="372">
        <f t="shared" si="1"/>
        <v>4426.5239999999994</v>
      </c>
      <c r="I16" s="372">
        <f t="shared" si="2"/>
        <v>29018.324000000001</v>
      </c>
      <c r="J16" s="407" t="s">
        <v>196</v>
      </c>
      <c r="K16" s="408">
        <v>740</v>
      </c>
      <c r="L16" s="408" t="s">
        <v>45</v>
      </c>
      <c r="M16" s="372">
        <v>60000</v>
      </c>
      <c r="N16" s="410">
        <v>42943</v>
      </c>
      <c r="O16" s="411" t="s">
        <v>102</v>
      </c>
      <c r="P16" s="997"/>
      <c r="Q16" s="1000"/>
    </row>
    <row r="17" spans="2:17" hidden="1">
      <c r="B17" s="406">
        <v>42887</v>
      </c>
      <c r="C17" s="407" t="s">
        <v>197</v>
      </c>
      <c r="D17" s="408" t="s">
        <v>195</v>
      </c>
      <c r="E17" s="409">
        <v>4662</v>
      </c>
      <c r="F17" s="372">
        <v>4.0999999999999996</v>
      </c>
      <c r="G17" s="372">
        <f t="shared" si="0"/>
        <v>19114.199999999997</v>
      </c>
      <c r="H17" s="372">
        <f t="shared" si="1"/>
        <v>3440.5559999999991</v>
      </c>
      <c r="I17" s="372">
        <f t="shared" si="2"/>
        <v>22554.755999999998</v>
      </c>
      <c r="J17" s="407" t="s">
        <v>196</v>
      </c>
      <c r="K17" s="408">
        <v>830</v>
      </c>
      <c r="L17" s="408" t="s">
        <v>45</v>
      </c>
      <c r="M17" s="372">
        <v>100000</v>
      </c>
      <c r="N17" s="410">
        <v>42963</v>
      </c>
      <c r="O17" s="411" t="s">
        <v>102</v>
      </c>
      <c r="P17" s="997"/>
      <c r="Q17" s="1000"/>
    </row>
    <row r="18" spans="2:17" hidden="1">
      <c r="B18" s="406">
        <v>42893</v>
      </c>
      <c r="C18" s="407" t="s">
        <v>197</v>
      </c>
      <c r="D18" s="408" t="s">
        <v>195</v>
      </c>
      <c r="E18" s="409">
        <v>4753</v>
      </c>
      <c r="F18" s="372">
        <v>4.0999999999999996</v>
      </c>
      <c r="G18" s="372">
        <f t="shared" si="0"/>
        <v>19487.3</v>
      </c>
      <c r="H18" s="372">
        <f t="shared" si="1"/>
        <v>3507.7139999999999</v>
      </c>
      <c r="I18" s="372">
        <f t="shared" si="2"/>
        <v>22995.013999999999</v>
      </c>
      <c r="J18" s="407" t="s">
        <v>196</v>
      </c>
      <c r="K18" s="408">
        <v>831</v>
      </c>
      <c r="L18" s="408" t="s">
        <v>45</v>
      </c>
      <c r="M18" s="372">
        <v>72777.786999999997</v>
      </c>
      <c r="N18" s="410">
        <v>42963</v>
      </c>
      <c r="O18" s="411" t="s">
        <v>102</v>
      </c>
      <c r="P18" s="997"/>
      <c r="Q18" s="1000"/>
    </row>
    <row r="19" spans="2:17" hidden="1">
      <c r="B19" s="406">
        <v>42900</v>
      </c>
      <c r="C19" s="407" t="s">
        <v>197</v>
      </c>
      <c r="D19" s="408" t="s">
        <v>195</v>
      </c>
      <c r="E19" s="409">
        <v>5116</v>
      </c>
      <c r="F19" s="372">
        <v>4.0999999999999996</v>
      </c>
      <c r="G19" s="372">
        <f t="shared" si="0"/>
        <v>20975.599999999999</v>
      </c>
      <c r="H19" s="372">
        <f t="shared" si="1"/>
        <v>3775.6079999999997</v>
      </c>
      <c r="I19" s="372">
        <f t="shared" si="2"/>
        <v>24751.207999999999</v>
      </c>
      <c r="J19" s="407"/>
      <c r="K19" s="408"/>
      <c r="L19" s="408"/>
      <c r="M19" s="372"/>
      <c r="N19" s="410"/>
      <c r="O19" s="411"/>
      <c r="P19" s="997"/>
      <c r="Q19" s="1000"/>
    </row>
    <row r="20" spans="2:17" hidden="1">
      <c r="B20" s="406">
        <v>42915</v>
      </c>
      <c r="C20" s="407" t="s">
        <v>197</v>
      </c>
      <c r="D20" s="408" t="s">
        <v>195</v>
      </c>
      <c r="E20" s="409">
        <v>4553</v>
      </c>
      <c r="F20" s="372">
        <v>4.0999999999999996</v>
      </c>
      <c r="G20" s="372">
        <f t="shared" si="0"/>
        <v>18667.3</v>
      </c>
      <c r="H20" s="372">
        <f t="shared" si="1"/>
        <v>3360.1139999999996</v>
      </c>
      <c r="I20" s="372">
        <f t="shared" si="2"/>
        <v>22027.413999999997</v>
      </c>
      <c r="J20" s="407"/>
      <c r="K20" s="408"/>
      <c r="L20" s="408"/>
      <c r="M20" s="372"/>
      <c r="N20" s="410"/>
      <c r="O20" s="411"/>
      <c r="P20" s="997"/>
      <c r="Q20" s="1000"/>
    </row>
    <row r="21" spans="2:17" hidden="1">
      <c r="B21" s="406">
        <v>42916</v>
      </c>
      <c r="C21" s="407" t="s">
        <v>197</v>
      </c>
      <c r="D21" s="408" t="s">
        <v>195</v>
      </c>
      <c r="E21" s="409">
        <v>3889</v>
      </c>
      <c r="F21" s="372">
        <v>4.0999999999999996</v>
      </c>
      <c r="G21" s="372">
        <f t="shared" si="0"/>
        <v>15944.899999999998</v>
      </c>
      <c r="H21" s="372">
        <f t="shared" si="1"/>
        <v>2870.0819999999994</v>
      </c>
      <c r="I21" s="372">
        <f t="shared" si="2"/>
        <v>18814.981999999996</v>
      </c>
      <c r="J21" s="407"/>
      <c r="K21" s="408"/>
      <c r="L21" s="408"/>
      <c r="M21" s="372"/>
      <c r="N21" s="410"/>
      <c r="O21" s="411"/>
      <c r="P21" s="997"/>
      <c r="Q21" s="1000"/>
    </row>
    <row r="22" spans="2:17" hidden="1">
      <c r="B22" s="406">
        <v>42922</v>
      </c>
      <c r="C22" s="407" t="s">
        <v>197</v>
      </c>
      <c r="D22" s="408" t="s">
        <v>195</v>
      </c>
      <c r="E22" s="409">
        <v>1694</v>
      </c>
      <c r="F22" s="372">
        <v>4.0999999999999996</v>
      </c>
      <c r="G22" s="372">
        <f t="shared" si="0"/>
        <v>6945.4</v>
      </c>
      <c r="H22" s="372">
        <f t="shared" si="1"/>
        <v>1250.1719999999998</v>
      </c>
      <c r="I22" s="372">
        <f t="shared" si="2"/>
        <v>8195.5720000000001</v>
      </c>
      <c r="J22" s="407"/>
      <c r="K22" s="408"/>
      <c r="L22" s="408"/>
      <c r="M22" s="372"/>
      <c r="N22" s="410"/>
      <c r="O22" s="411"/>
      <c r="P22" s="997"/>
      <c r="Q22" s="1000"/>
    </row>
    <row r="23" spans="2:17" hidden="1">
      <c r="B23" s="406">
        <v>42922</v>
      </c>
      <c r="C23" s="407" t="s">
        <v>197</v>
      </c>
      <c r="D23" s="408" t="s">
        <v>195</v>
      </c>
      <c r="E23" s="409">
        <v>1634</v>
      </c>
      <c r="F23" s="372">
        <v>4.0999999999999996</v>
      </c>
      <c r="G23" s="372">
        <f t="shared" si="0"/>
        <v>6699.4</v>
      </c>
      <c r="H23" s="372">
        <f t="shared" si="1"/>
        <v>1205.8919999999998</v>
      </c>
      <c r="I23" s="372">
        <f t="shared" si="2"/>
        <v>7905.2919999999995</v>
      </c>
      <c r="J23" s="407"/>
      <c r="K23" s="408"/>
      <c r="L23" s="408"/>
      <c r="M23" s="372"/>
      <c r="N23" s="410"/>
      <c r="O23" s="411"/>
      <c r="P23" s="997"/>
      <c r="Q23" s="1000"/>
    </row>
    <row r="24" spans="2:17" hidden="1">
      <c r="B24" s="406">
        <v>42926</v>
      </c>
      <c r="C24" s="407" t="s">
        <v>197</v>
      </c>
      <c r="D24" s="408" t="s">
        <v>195</v>
      </c>
      <c r="E24" s="409">
        <v>1450</v>
      </c>
      <c r="F24" s="372">
        <v>4.0999999999999996</v>
      </c>
      <c r="G24" s="372">
        <f t="shared" si="0"/>
        <v>5944.9999999999991</v>
      </c>
      <c r="H24" s="372">
        <f t="shared" si="1"/>
        <v>1070.0999999999999</v>
      </c>
      <c r="I24" s="372">
        <f t="shared" si="2"/>
        <v>7015.0999999999985</v>
      </c>
      <c r="J24" s="407"/>
      <c r="K24" s="408"/>
      <c r="L24" s="408"/>
      <c r="M24" s="372"/>
      <c r="N24" s="410"/>
      <c r="O24" s="411"/>
      <c r="P24" s="997"/>
      <c r="Q24" s="1000"/>
    </row>
    <row r="25" spans="2:17" hidden="1">
      <c r="B25" s="406">
        <v>42930</v>
      </c>
      <c r="C25" s="407" t="s">
        <v>197</v>
      </c>
      <c r="D25" s="408" t="s">
        <v>195</v>
      </c>
      <c r="E25" s="409">
        <v>3022</v>
      </c>
      <c r="F25" s="372">
        <v>4.0999999999999996</v>
      </c>
      <c r="G25" s="372">
        <f t="shared" si="0"/>
        <v>12390.199999999999</v>
      </c>
      <c r="H25" s="372">
        <f t="shared" si="1"/>
        <v>2230.2359999999999</v>
      </c>
      <c r="I25" s="372">
        <f t="shared" si="2"/>
        <v>14620.435999999998</v>
      </c>
      <c r="J25" s="407"/>
      <c r="K25" s="408"/>
      <c r="L25" s="408"/>
      <c r="M25" s="372"/>
      <c r="N25" s="410"/>
      <c r="O25" s="411"/>
      <c r="P25" s="997"/>
      <c r="Q25" s="1000"/>
    </row>
    <row r="26" spans="2:17" hidden="1">
      <c r="B26" s="406">
        <v>42942</v>
      </c>
      <c r="C26" s="407" t="s">
        <v>197</v>
      </c>
      <c r="D26" s="408" t="s">
        <v>195</v>
      </c>
      <c r="E26" s="409">
        <v>2704</v>
      </c>
      <c r="F26" s="372">
        <v>4.0999999999999996</v>
      </c>
      <c r="G26" s="372">
        <f t="shared" si="0"/>
        <v>11086.4</v>
      </c>
      <c r="H26" s="372">
        <f t="shared" si="1"/>
        <v>1995.5519999999999</v>
      </c>
      <c r="I26" s="372">
        <f t="shared" si="2"/>
        <v>13081.951999999999</v>
      </c>
      <c r="J26" s="407"/>
      <c r="K26" s="408"/>
      <c r="L26" s="408"/>
      <c r="M26" s="372"/>
      <c r="N26" s="410"/>
      <c r="O26" s="411"/>
      <c r="P26" s="997"/>
      <c r="Q26" s="1000"/>
    </row>
    <row r="27" spans="2:17" hidden="1">
      <c r="B27" s="406">
        <v>42894</v>
      </c>
      <c r="C27" s="407" t="s">
        <v>208</v>
      </c>
      <c r="D27" s="408" t="s">
        <v>195</v>
      </c>
      <c r="E27" s="409">
        <v>29940</v>
      </c>
      <c r="F27" s="372">
        <v>1.35</v>
      </c>
      <c r="G27" s="372">
        <f t="shared" si="0"/>
        <v>40419</v>
      </c>
      <c r="H27" s="372">
        <f t="shared" si="1"/>
        <v>7275.42</v>
      </c>
      <c r="I27" s="372">
        <f t="shared" si="2"/>
        <v>47694.42</v>
      </c>
      <c r="J27" s="407"/>
      <c r="K27" s="408"/>
      <c r="L27" s="408"/>
      <c r="M27" s="372"/>
      <c r="N27" s="410"/>
      <c r="O27" s="411"/>
      <c r="P27" s="997"/>
      <c r="Q27" s="1000"/>
    </row>
    <row r="28" spans="2:17" hidden="1">
      <c r="B28" s="406">
        <v>42899</v>
      </c>
      <c r="C28" s="407" t="s">
        <v>208</v>
      </c>
      <c r="D28" s="408" t="s">
        <v>195</v>
      </c>
      <c r="E28" s="409">
        <v>32820</v>
      </c>
      <c r="F28" s="372">
        <v>1.35</v>
      </c>
      <c r="G28" s="372">
        <f t="shared" si="0"/>
        <v>44307</v>
      </c>
      <c r="H28" s="372">
        <f t="shared" si="1"/>
        <v>7975.2599999999993</v>
      </c>
      <c r="I28" s="372">
        <f t="shared" si="2"/>
        <v>52282.26</v>
      </c>
      <c r="J28" s="407"/>
      <c r="K28" s="408"/>
      <c r="L28" s="408"/>
      <c r="M28" s="372"/>
      <c r="N28" s="410"/>
      <c r="O28" s="411"/>
      <c r="P28" s="997"/>
      <c r="Q28" s="1000"/>
    </row>
    <row r="29" spans="2:17" hidden="1">
      <c r="B29" s="406">
        <v>42922</v>
      </c>
      <c r="C29" s="407" t="s">
        <v>208</v>
      </c>
      <c r="D29" s="408" t="s">
        <v>195</v>
      </c>
      <c r="E29" s="409">
        <v>31960</v>
      </c>
      <c r="F29" s="372">
        <v>1.35</v>
      </c>
      <c r="G29" s="372">
        <f t="shared" si="0"/>
        <v>43146</v>
      </c>
      <c r="H29" s="372">
        <f t="shared" si="1"/>
        <v>7766.28</v>
      </c>
      <c r="I29" s="372">
        <f t="shared" si="2"/>
        <v>50912.28</v>
      </c>
      <c r="J29" s="407"/>
      <c r="K29" s="408"/>
      <c r="L29" s="408"/>
      <c r="M29" s="372"/>
      <c r="N29" s="410"/>
      <c r="O29" s="411"/>
      <c r="P29" s="997"/>
      <c r="Q29" s="1000"/>
    </row>
    <row r="30" spans="2:17" hidden="1">
      <c r="B30" s="406">
        <v>42927</v>
      </c>
      <c r="C30" s="407" t="s">
        <v>208</v>
      </c>
      <c r="D30" s="408" t="s">
        <v>195</v>
      </c>
      <c r="E30" s="409">
        <v>3121</v>
      </c>
      <c r="F30" s="372">
        <v>1.35</v>
      </c>
      <c r="G30" s="372">
        <f t="shared" si="0"/>
        <v>4213.3500000000004</v>
      </c>
      <c r="H30" s="372">
        <f t="shared" si="1"/>
        <v>758.40300000000002</v>
      </c>
      <c r="I30" s="372">
        <f t="shared" si="2"/>
        <v>4971.7530000000006</v>
      </c>
      <c r="J30" s="407"/>
      <c r="K30" s="408"/>
      <c r="L30" s="408"/>
      <c r="M30" s="372"/>
      <c r="N30" s="410"/>
      <c r="O30" s="411"/>
      <c r="P30" s="997"/>
      <c r="Q30" s="1000"/>
    </row>
    <row r="31" spans="2:17" ht="13.5" hidden="1" thickBot="1">
      <c r="B31" s="418">
        <v>42943</v>
      </c>
      <c r="C31" s="419" t="s">
        <v>208</v>
      </c>
      <c r="D31" s="420" t="s">
        <v>195</v>
      </c>
      <c r="E31" s="421">
        <v>33140</v>
      </c>
      <c r="F31" s="373">
        <v>1.35</v>
      </c>
      <c r="G31" s="373">
        <f t="shared" si="0"/>
        <v>44739</v>
      </c>
      <c r="H31" s="373">
        <f t="shared" si="1"/>
        <v>8053.0199999999995</v>
      </c>
      <c r="I31" s="373">
        <f t="shared" si="2"/>
        <v>52792.02</v>
      </c>
      <c r="J31" s="419"/>
      <c r="K31" s="420"/>
      <c r="L31" s="420"/>
      <c r="M31" s="373"/>
      <c r="N31" s="422"/>
      <c r="O31" s="423"/>
      <c r="P31" s="998"/>
      <c r="Q31" s="1001"/>
    </row>
    <row r="32" spans="2:17" ht="13.5" hidden="1" thickBot="1"/>
    <row r="33" spans="2:20" hidden="1">
      <c r="B33" s="412">
        <v>42838</v>
      </c>
      <c r="C33" s="413" t="s">
        <v>198</v>
      </c>
      <c r="D33" s="414" t="s">
        <v>195</v>
      </c>
      <c r="E33" s="415">
        <v>236</v>
      </c>
      <c r="F33" s="371">
        <v>30</v>
      </c>
      <c r="G33" s="371">
        <f t="shared" ref="G33:G38" si="3">+E33*F33</f>
        <v>7080</v>
      </c>
      <c r="H33" s="371">
        <f>G33*0.18</f>
        <v>1274.3999999999999</v>
      </c>
      <c r="I33" s="371">
        <f>+G33+H33</f>
        <v>8354.4</v>
      </c>
      <c r="J33" s="413" t="s">
        <v>196</v>
      </c>
      <c r="K33" s="414">
        <v>3938</v>
      </c>
      <c r="L33" s="414" t="s">
        <v>46</v>
      </c>
      <c r="M33" s="371">
        <f>20000/0.985</f>
        <v>20304.568527918782</v>
      </c>
      <c r="N33" s="416">
        <v>42901</v>
      </c>
      <c r="O33" s="417" t="s">
        <v>102</v>
      </c>
      <c r="P33" s="996" t="s">
        <v>249</v>
      </c>
      <c r="Q33" s="999" t="s">
        <v>46</v>
      </c>
    </row>
    <row r="34" spans="2:20" hidden="1">
      <c r="B34" s="406">
        <v>42849</v>
      </c>
      <c r="C34" s="407" t="s">
        <v>198</v>
      </c>
      <c r="D34" s="408" t="s">
        <v>195</v>
      </c>
      <c r="E34" s="409">
        <v>466</v>
      </c>
      <c r="F34" s="372">
        <v>30</v>
      </c>
      <c r="G34" s="372">
        <f t="shared" si="3"/>
        <v>13980</v>
      </c>
      <c r="H34" s="372">
        <f>G34*0.18</f>
        <v>2516.4</v>
      </c>
      <c r="I34" s="372">
        <f>+G34+H34</f>
        <v>16496.400000000001</v>
      </c>
      <c r="J34" s="407" t="s">
        <v>196</v>
      </c>
      <c r="K34" s="408">
        <v>4116</v>
      </c>
      <c r="L34" s="408" t="s">
        <v>46</v>
      </c>
      <c r="M34" s="372">
        <v>20000</v>
      </c>
      <c r="N34" s="410">
        <v>42985</v>
      </c>
      <c r="O34" s="411" t="s">
        <v>102</v>
      </c>
      <c r="P34" s="997"/>
      <c r="Q34" s="1000"/>
    </row>
    <row r="35" spans="2:20" hidden="1">
      <c r="B35" s="406">
        <v>42867</v>
      </c>
      <c r="C35" s="407" t="s">
        <v>198</v>
      </c>
      <c r="D35" s="408" t="s">
        <v>195</v>
      </c>
      <c r="E35" s="409">
        <v>154</v>
      </c>
      <c r="F35" s="372">
        <v>30</v>
      </c>
      <c r="G35" s="372">
        <f t="shared" si="3"/>
        <v>4620</v>
      </c>
      <c r="H35" s="372">
        <f>G35*0.18</f>
        <v>831.6</v>
      </c>
      <c r="I35" s="372">
        <f>+G35+H35</f>
        <v>5451.6</v>
      </c>
      <c r="J35" s="407" t="s">
        <v>196</v>
      </c>
      <c r="K35" s="408">
        <v>4173</v>
      </c>
      <c r="L35" s="408" t="s">
        <v>46</v>
      </c>
      <c r="M35" s="372">
        <v>18377.330999999998</v>
      </c>
      <c r="N35" s="410">
        <v>43014</v>
      </c>
      <c r="O35" s="411" t="s">
        <v>102</v>
      </c>
      <c r="P35" s="997"/>
      <c r="Q35" s="1000"/>
    </row>
    <row r="36" spans="2:20" hidden="1">
      <c r="B36" s="406">
        <v>42887</v>
      </c>
      <c r="C36" s="407" t="s">
        <v>198</v>
      </c>
      <c r="D36" s="408" t="s">
        <v>195</v>
      </c>
      <c r="E36" s="409">
        <v>205</v>
      </c>
      <c r="F36" s="372">
        <v>30</v>
      </c>
      <c r="G36" s="372">
        <f t="shared" si="3"/>
        <v>6150</v>
      </c>
      <c r="H36" s="372">
        <f>G36*0.18</f>
        <v>1107</v>
      </c>
      <c r="I36" s="372">
        <f>+G36+H36</f>
        <v>7257</v>
      </c>
      <c r="J36" s="407"/>
      <c r="K36" s="408"/>
      <c r="L36" s="408"/>
      <c r="M36" s="372"/>
      <c r="N36" s="410"/>
      <c r="O36" s="411"/>
      <c r="P36" s="997"/>
      <c r="Q36" s="1000"/>
    </row>
    <row r="37" spans="2:20" hidden="1">
      <c r="B37" s="406">
        <v>42977</v>
      </c>
      <c r="C37" s="407" t="s">
        <v>198</v>
      </c>
      <c r="D37" s="408" t="s">
        <v>195</v>
      </c>
      <c r="E37" s="409">
        <v>532</v>
      </c>
      <c r="F37" s="372">
        <v>30</v>
      </c>
      <c r="G37" s="372">
        <f t="shared" si="3"/>
        <v>15960</v>
      </c>
      <c r="H37" s="372">
        <f>G37*0.18</f>
        <v>2872.7999999999997</v>
      </c>
      <c r="I37" s="372">
        <f>+G37+H37</f>
        <v>18832.8</v>
      </c>
      <c r="J37" s="407"/>
      <c r="K37" s="408"/>
      <c r="L37" s="408"/>
      <c r="M37" s="372"/>
      <c r="N37" s="410"/>
      <c r="O37" s="411"/>
      <c r="P37" s="997"/>
      <c r="Q37" s="1000"/>
    </row>
    <row r="38" spans="2:20" ht="13.5" hidden="1" thickBot="1">
      <c r="B38" s="418">
        <v>42838</v>
      </c>
      <c r="C38" s="419" t="s">
        <v>203</v>
      </c>
      <c r="D38" s="420" t="s">
        <v>195</v>
      </c>
      <c r="E38" s="421">
        <v>485</v>
      </c>
      <c r="F38" s="373">
        <v>4</v>
      </c>
      <c r="G38" s="373">
        <f t="shared" si="3"/>
        <v>1940</v>
      </c>
      <c r="H38" s="373">
        <f>+G38*0.18</f>
        <v>349.2</v>
      </c>
      <c r="I38" s="373">
        <f>+H38+G38</f>
        <v>2289.1999999999998</v>
      </c>
      <c r="J38" s="419"/>
      <c r="K38" s="420"/>
      <c r="L38" s="420"/>
      <c r="M38" s="373"/>
      <c r="N38" s="422"/>
      <c r="O38" s="423"/>
      <c r="P38" s="998"/>
      <c r="Q38" s="1001"/>
    </row>
    <row r="39" spans="2:20" ht="13.5" hidden="1" thickBot="1">
      <c r="B39" s="427"/>
      <c r="C39" s="428"/>
      <c r="D39" s="429"/>
      <c r="E39" s="430"/>
      <c r="F39" s="431"/>
      <c r="G39" s="306"/>
      <c r="H39" s="431"/>
      <c r="I39" s="431"/>
      <c r="J39" s="428"/>
      <c r="K39" s="429"/>
      <c r="L39" s="429"/>
      <c r="M39" s="431"/>
      <c r="N39" s="432"/>
      <c r="O39" s="433"/>
      <c r="P39" s="484"/>
    </row>
    <row r="40" spans="2:20" s="44" customFormat="1" hidden="1">
      <c r="B40" s="412">
        <v>42954</v>
      </c>
      <c r="C40" s="413" t="s">
        <v>197</v>
      </c>
      <c r="D40" s="414" t="s">
        <v>195</v>
      </c>
      <c r="E40" s="415">
        <v>3066</v>
      </c>
      <c r="F40" s="371">
        <v>4.0999999999999996</v>
      </c>
      <c r="G40" s="371">
        <f>+E40*F40</f>
        <v>12570.599999999999</v>
      </c>
      <c r="H40" s="371">
        <f>+G40*0.18</f>
        <v>2262.7079999999996</v>
      </c>
      <c r="I40" s="371">
        <f>+H40+G40</f>
        <v>14833.307999999997</v>
      </c>
      <c r="J40" s="413" t="s">
        <v>196</v>
      </c>
      <c r="K40" s="414">
        <v>897</v>
      </c>
      <c r="L40" s="414" t="s">
        <v>45</v>
      </c>
      <c r="M40" s="371">
        <v>50000</v>
      </c>
      <c r="N40" s="416">
        <v>42989</v>
      </c>
      <c r="O40" s="417" t="s">
        <v>102</v>
      </c>
      <c r="P40" s="996" t="s">
        <v>249</v>
      </c>
      <c r="Q40" s="999" t="s">
        <v>45</v>
      </c>
    </row>
    <row r="41" spans="2:20" s="44" customFormat="1" hidden="1">
      <c r="B41" s="406">
        <v>42958</v>
      </c>
      <c r="C41" s="407" t="s">
        <v>197</v>
      </c>
      <c r="D41" s="408" t="s">
        <v>195</v>
      </c>
      <c r="E41" s="409">
        <v>4570</v>
      </c>
      <c r="F41" s="372">
        <v>4.0999999999999996</v>
      </c>
      <c r="G41" s="372">
        <f>+E41*F41</f>
        <v>18737</v>
      </c>
      <c r="H41" s="372">
        <f>+G41*0.18</f>
        <v>3372.66</v>
      </c>
      <c r="I41" s="372">
        <f>+H41+G41</f>
        <v>22109.66</v>
      </c>
      <c r="J41" s="407" t="s">
        <v>196</v>
      </c>
      <c r="K41" s="408">
        <v>933</v>
      </c>
      <c r="L41" s="408" t="s">
        <v>45</v>
      </c>
      <c r="M41" s="372">
        <v>33569.756999999998</v>
      </c>
      <c r="N41" s="410">
        <v>43000</v>
      </c>
      <c r="O41" s="411" t="s">
        <v>102</v>
      </c>
      <c r="P41" s="997"/>
      <c r="Q41" s="1000"/>
    </row>
    <row r="42" spans="2:20" s="44" customFormat="1" hidden="1">
      <c r="B42" s="406">
        <v>42965</v>
      </c>
      <c r="C42" s="407" t="s">
        <v>197</v>
      </c>
      <c r="D42" s="408" t="s">
        <v>195</v>
      </c>
      <c r="E42" s="409">
        <v>2535</v>
      </c>
      <c r="F42" s="372">
        <v>4.0999999999999996</v>
      </c>
      <c r="G42" s="372">
        <f>+E42*F42</f>
        <v>10393.5</v>
      </c>
      <c r="H42" s="372">
        <f>+G42*0.18</f>
        <v>1870.83</v>
      </c>
      <c r="I42" s="372">
        <f>+H42+G42</f>
        <v>12264.33</v>
      </c>
      <c r="J42" s="407"/>
      <c r="K42" s="408"/>
      <c r="L42" s="408"/>
      <c r="M42" s="372"/>
      <c r="N42" s="410"/>
      <c r="O42" s="411"/>
      <c r="P42" s="997"/>
      <c r="Q42" s="1000"/>
      <c r="T42" s="297"/>
    </row>
    <row r="43" spans="2:20" s="44" customFormat="1" hidden="1">
      <c r="B43" s="406">
        <v>42971</v>
      </c>
      <c r="C43" s="407" t="s">
        <v>197</v>
      </c>
      <c r="D43" s="408" t="s">
        <v>195</v>
      </c>
      <c r="E43" s="409">
        <v>4650</v>
      </c>
      <c r="F43" s="372">
        <v>4.0999999999999996</v>
      </c>
      <c r="G43" s="372">
        <f>+E43*F43</f>
        <v>19065</v>
      </c>
      <c r="H43" s="372">
        <f>+G43*0.18</f>
        <v>3431.7</v>
      </c>
      <c r="I43" s="372">
        <f>+H43+G43</f>
        <v>22496.7</v>
      </c>
      <c r="J43" s="407"/>
      <c r="K43" s="408"/>
      <c r="L43" s="408"/>
      <c r="M43" s="372"/>
      <c r="N43" s="410"/>
      <c r="O43" s="411"/>
      <c r="P43" s="997"/>
      <c r="Q43" s="1000"/>
      <c r="T43" s="297"/>
    </row>
    <row r="44" spans="2:20" s="44" customFormat="1" ht="13.5" hidden="1" thickBot="1">
      <c r="B44" s="418">
        <v>42977</v>
      </c>
      <c r="C44" s="419" t="s">
        <v>197</v>
      </c>
      <c r="D44" s="420" t="s">
        <v>195</v>
      </c>
      <c r="E44" s="421">
        <v>2610</v>
      </c>
      <c r="F44" s="373">
        <v>4.0999999999999996</v>
      </c>
      <c r="G44" s="373">
        <f>+E44*F44</f>
        <v>10700.999999999998</v>
      </c>
      <c r="H44" s="373">
        <f>+G44*0.18</f>
        <v>1926.1799999999996</v>
      </c>
      <c r="I44" s="373">
        <f>+H44+G44</f>
        <v>12627.179999999998</v>
      </c>
      <c r="J44" s="419"/>
      <c r="K44" s="420"/>
      <c r="L44" s="420"/>
      <c r="M44" s="373"/>
      <c r="N44" s="422"/>
      <c r="O44" s="423"/>
      <c r="P44" s="998"/>
      <c r="Q44" s="1001"/>
    </row>
    <row r="45" spans="2:20" s="44" customFormat="1" ht="13.5" hidden="1" thickBot="1">
      <c r="B45" s="462"/>
      <c r="C45" s="295"/>
      <c r="D45" s="463"/>
      <c r="E45" s="464"/>
      <c r="F45" s="306"/>
      <c r="G45" s="306"/>
      <c r="H45" s="306"/>
      <c r="I45" s="306"/>
      <c r="J45" s="295"/>
      <c r="K45" s="463"/>
      <c r="L45" s="463"/>
      <c r="M45" s="306"/>
      <c r="N45" s="465"/>
      <c r="O45" s="307"/>
      <c r="P45" s="485"/>
      <c r="Q45" s="480"/>
    </row>
    <row r="46" spans="2:20" s="44" customFormat="1" hidden="1">
      <c r="B46" s="412">
        <v>42956</v>
      </c>
      <c r="C46" s="413" t="s">
        <v>208</v>
      </c>
      <c r="D46" s="414" t="s">
        <v>195</v>
      </c>
      <c r="E46" s="415">
        <v>9684</v>
      </c>
      <c r="F46" s="371">
        <v>1.35</v>
      </c>
      <c r="G46" s="371">
        <f t="shared" ref="G46:G52" si="4">+E46*F46</f>
        <v>13073.400000000001</v>
      </c>
      <c r="H46" s="371">
        <f t="shared" ref="H46:H52" si="5">+G46*0.18</f>
        <v>2353.212</v>
      </c>
      <c r="I46" s="371">
        <f t="shared" ref="I46:I52" si="6">+H46+G46</f>
        <v>15426.612000000001</v>
      </c>
      <c r="J46" s="413" t="s">
        <v>196</v>
      </c>
      <c r="K46" s="414">
        <v>896</v>
      </c>
      <c r="L46" s="414" t="s">
        <v>45</v>
      </c>
      <c r="M46" s="371">
        <v>100000</v>
      </c>
      <c r="N46" s="416">
        <v>42985</v>
      </c>
      <c r="O46" s="417" t="s">
        <v>102</v>
      </c>
      <c r="P46" s="996" t="s">
        <v>249</v>
      </c>
      <c r="Q46" s="999" t="s">
        <v>45</v>
      </c>
    </row>
    <row r="47" spans="2:20" s="44" customFormat="1" hidden="1">
      <c r="B47" s="406">
        <v>42957</v>
      </c>
      <c r="C47" s="407" t="s">
        <v>208</v>
      </c>
      <c r="D47" s="408" t="s">
        <v>195</v>
      </c>
      <c r="E47" s="409">
        <v>30640</v>
      </c>
      <c r="F47" s="372">
        <v>1.35</v>
      </c>
      <c r="G47" s="372">
        <f t="shared" si="4"/>
        <v>41364</v>
      </c>
      <c r="H47" s="372">
        <f t="shared" si="5"/>
        <v>7445.5199999999995</v>
      </c>
      <c r="I47" s="372">
        <f t="shared" si="6"/>
        <v>48809.52</v>
      </c>
      <c r="J47" s="407" t="s">
        <v>196</v>
      </c>
      <c r="K47" s="408">
        <v>932</v>
      </c>
      <c r="L47" s="408" t="s">
        <v>45</v>
      </c>
      <c r="M47" s="372">
        <v>50000</v>
      </c>
      <c r="N47" s="410">
        <v>43000</v>
      </c>
      <c r="O47" s="411" t="s">
        <v>102</v>
      </c>
      <c r="P47" s="997"/>
      <c r="Q47" s="1000"/>
    </row>
    <row r="48" spans="2:20" s="44" customFormat="1" hidden="1">
      <c r="B48" s="406">
        <v>42972</v>
      </c>
      <c r="C48" s="407" t="s">
        <v>208</v>
      </c>
      <c r="D48" s="408" t="s">
        <v>195</v>
      </c>
      <c r="E48" s="409">
        <v>35720</v>
      </c>
      <c r="F48" s="372">
        <v>1.35</v>
      </c>
      <c r="G48" s="372">
        <f t="shared" si="4"/>
        <v>48222</v>
      </c>
      <c r="H48" s="372">
        <f t="shared" si="5"/>
        <v>8679.9599999999991</v>
      </c>
      <c r="I48" s="372">
        <f t="shared" si="6"/>
        <v>56901.96</v>
      </c>
      <c r="J48" s="407" t="s">
        <v>196</v>
      </c>
      <c r="K48" s="408">
        <v>1035</v>
      </c>
      <c r="L48" s="408" t="s">
        <v>45</v>
      </c>
      <c r="M48" s="372">
        <v>80495.323000000004</v>
      </c>
      <c r="N48" s="410">
        <v>43014</v>
      </c>
      <c r="O48" s="411" t="s">
        <v>102</v>
      </c>
      <c r="P48" s="997"/>
      <c r="Q48" s="1000"/>
    </row>
    <row r="49" spans="2:17" s="44" customFormat="1" hidden="1">
      <c r="B49" s="406">
        <v>42975</v>
      </c>
      <c r="C49" s="407" t="s">
        <v>208</v>
      </c>
      <c r="D49" s="408" t="s">
        <v>195</v>
      </c>
      <c r="E49" s="409">
        <v>34300</v>
      </c>
      <c r="F49" s="372">
        <v>1.35</v>
      </c>
      <c r="G49" s="372">
        <f t="shared" si="4"/>
        <v>46305</v>
      </c>
      <c r="H49" s="372">
        <f t="shared" si="5"/>
        <v>8334.9</v>
      </c>
      <c r="I49" s="372">
        <f t="shared" si="6"/>
        <v>54639.9</v>
      </c>
      <c r="J49" s="407"/>
      <c r="K49" s="408"/>
      <c r="L49" s="408"/>
      <c r="M49" s="372"/>
      <c r="N49" s="410"/>
      <c r="O49" s="411"/>
      <c r="P49" s="997"/>
      <c r="Q49" s="1000"/>
    </row>
    <row r="50" spans="2:17" s="44" customFormat="1" hidden="1">
      <c r="B50" s="406">
        <v>42975</v>
      </c>
      <c r="C50" s="407" t="s">
        <v>208</v>
      </c>
      <c r="D50" s="408" t="s">
        <v>195</v>
      </c>
      <c r="E50" s="409">
        <v>3304</v>
      </c>
      <c r="F50" s="372">
        <v>1.35</v>
      </c>
      <c r="G50" s="372">
        <f t="shared" si="4"/>
        <v>4460.4000000000005</v>
      </c>
      <c r="H50" s="372">
        <f t="shared" si="5"/>
        <v>802.87200000000007</v>
      </c>
      <c r="I50" s="372">
        <f t="shared" si="6"/>
        <v>5263.2720000000008</v>
      </c>
      <c r="J50" s="407"/>
      <c r="K50" s="408"/>
      <c r="L50" s="408"/>
      <c r="M50" s="372"/>
      <c r="N50" s="410"/>
      <c r="O50" s="411"/>
      <c r="P50" s="997"/>
      <c r="Q50" s="1000"/>
    </row>
    <row r="51" spans="2:17" s="44" customFormat="1" hidden="1">
      <c r="B51" s="406">
        <v>42977</v>
      </c>
      <c r="C51" s="407" t="s">
        <v>208</v>
      </c>
      <c r="D51" s="408" t="s">
        <v>195</v>
      </c>
      <c r="E51" s="409">
        <v>886</v>
      </c>
      <c r="F51" s="372">
        <v>1.35</v>
      </c>
      <c r="G51" s="372">
        <f t="shared" si="4"/>
        <v>1196.1000000000001</v>
      </c>
      <c r="H51" s="372">
        <f t="shared" si="5"/>
        <v>215.29800000000003</v>
      </c>
      <c r="I51" s="372">
        <f t="shared" si="6"/>
        <v>1411.3980000000001</v>
      </c>
      <c r="J51" s="407"/>
      <c r="K51" s="408"/>
      <c r="L51" s="408"/>
      <c r="M51" s="372"/>
      <c r="N51" s="410"/>
      <c r="O51" s="411"/>
      <c r="P51" s="997"/>
      <c r="Q51" s="1000"/>
    </row>
    <row r="52" spans="2:17" s="44" customFormat="1" ht="13.5" hidden="1" thickBot="1">
      <c r="B52" s="418">
        <v>42977</v>
      </c>
      <c r="C52" s="419" t="s">
        <v>208</v>
      </c>
      <c r="D52" s="420" t="s">
        <v>195</v>
      </c>
      <c r="E52" s="421">
        <v>29680</v>
      </c>
      <c r="F52" s="373">
        <v>1.35</v>
      </c>
      <c r="G52" s="373">
        <f t="shared" si="4"/>
        <v>40068</v>
      </c>
      <c r="H52" s="373">
        <f t="shared" si="5"/>
        <v>7212.24</v>
      </c>
      <c r="I52" s="373">
        <f t="shared" si="6"/>
        <v>47280.24</v>
      </c>
      <c r="J52" s="419"/>
      <c r="K52" s="420"/>
      <c r="L52" s="420"/>
      <c r="M52" s="373"/>
      <c r="N52" s="422"/>
      <c r="O52" s="423"/>
      <c r="P52" s="998"/>
      <c r="Q52" s="1001"/>
    </row>
    <row r="53" spans="2:17" s="295" customFormat="1" ht="13.5" hidden="1" thickBot="1">
      <c r="B53" s="462"/>
      <c r="D53" s="463"/>
      <c r="E53" s="464"/>
      <c r="F53" s="306"/>
      <c r="G53" s="306"/>
      <c r="H53" s="306"/>
      <c r="I53" s="306"/>
      <c r="K53" s="463"/>
      <c r="L53" s="463"/>
      <c r="M53" s="306"/>
      <c r="N53" s="465"/>
      <c r="O53" s="307"/>
      <c r="P53" s="481"/>
      <c r="Q53" s="482"/>
    </row>
    <row r="54" spans="2:17" s="44" customFormat="1" hidden="1">
      <c r="B54" s="412">
        <v>42986</v>
      </c>
      <c r="C54" s="413" t="s">
        <v>208</v>
      </c>
      <c r="D54" s="414" t="s">
        <v>195</v>
      </c>
      <c r="E54" s="415">
        <v>30440</v>
      </c>
      <c r="F54" s="371">
        <v>1.4</v>
      </c>
      <c r="G54" s="371">
        <f>+E54*F54</f>
        <v>42616</v>
      </c>
      <c r="H54" s="371">
        <f>+G54*0.18</f>
        <v>7670.88</v>
      </c>
      <c r="I54" s="371">
        <f>+H54+G54</f>
        <v>50286.879999999997</v>
      </c>
      <c r="J54" s="413" t="s">
        <v>196</v>
      </c>
      <c r="K54" s="414">
        <v>4195</v>
      </c>
      <c r="L54" s="414" t="s">
        <v>46</v>
      </c>
      <c r="M54" s="371">
        <v>100000</v>
      </c>
      <c r="N54" s="416">
        <v>43024</v>
      </c>
      <c r="O54" s="417" t="s">
        <v>102</v>
      </c>
      <c r="P54" s="996" t="s">
        <v>249</v>
      </c>
      <c r="Q54" s="999" t="s">
        <v>46</v>
      </c>
    </row>
    <row r="55" spans="2:17" s="44" customFormat="1" hidden="1">
      <c r="B55" s="406">
        <v>42998</v>
      </c>
      <c r="C55" s="407" t="s">
        <v>208</v>
      </c>
      <c r="D55" s="408" t="s">
        <v>195</v>
      </c>
      <c r="E55" s="409">
        <v>25980</v>
      </c>
      <c r="F55" s="372">
        <v>1.4</v>
      </c>
      <c r="G55" s="372">
        <f>+E55*F55</f>
        <v>36372</v>
      </c>
      <c r="H55" s="372">
        <f>+G55*0.18</f>
        <v>6546.96</v>
      </c>
      <c r="I55" s="372">
        <f>+H55+G55</f>
        <v>42918.96</v>
      </c>
      <c r="J55" s="407" t="s">
        <v>196</v>
      </c>
      <c r="K55" s="408">
        <v>1170</v>
      </c>
      <c r="L55" s="408" t="s">
        <v>45</v>
      </c>
      <c r="M55" s="372">
        <v>100000</v>
      </c>
      <c r="N55" s="410">
        <v>43041</v>
      </c>
      <c r="O55" s="411" t="s">
        <v>102</v>
      </c>
      <c r="P55" s="997"/>
      <c r="Q55" s="1000"/>
    </row>
    <row r="56" spans="2:17" s="44" customFormat="1" hidden="1">
      <c r="B56" s="406">
        <v>43003</v>
      </c>
      <c r="C56" s="407" t="s">
        <v>208</v>
      </c>
      <c r="D56" s="408" t="s">
        <v>195</v>
      </c>
      <c r="E56" s="409">
        <v>41100</v>
      </c>
      <c r="F56" s="372">
        <v>1.4</v>
      </c>
      <c r="G56" s="372">
        <f>+E56*F56</f>
        <v>57539.999999999993</v>
      </c>
      <c r="H56" s="372">
        <f>+G56*0.18</f>
        <v>10357.199999999999</v>
      </c>
      <c r="I56" s="372">
        <f>+H56+G56</f>
        <v>67897.2</v>
      </c>
      <c r="J56" s="407"/>
      <c r="K56" s="408"/>
      <c r="L56" s="408"/>
      <c r="M56" s="372"/>
      <c r="N56" s="410"/>
      <c r="O56" s="411"/>
      <c r="P56" s="997"/>
      <c r="Q56" s="1000"/>
    </row>
    <row r="57" spans="2:17" s="44" customFormat="1" hidden="1">
      <c r="B57" s="406">
        <v>43006</v>
      </c>
      <c r="C57" s="407" t="s">
        <v>208</v>
      </c>
      <c r="D57" s="408" t="s">
        <v>195</v>
      </c>
      <c r="E57" s="409">
        <v>16670</v>
      </c>
      <c r="F57" s="372">
        <v>1.4</v>
      </c>
      <c r="G57" s="372">
        <f>+E57*F57</f>
        <v>23338</v>
      </c>
      <c r="H57" s="372">
        <f>+G57*0.18</f>
        <v>4200.84</v>
      </c>
      <c r="I57" s="372">
        <f>+H57+G57</f>
        <v>27538.84</v>
      </c>
      <c r="J57" s="407"/>
      <c r="K57" s="408"/>
      <c r="L57" s="408"/>
      <c r="M57" s="372"/>
      <c r="N57" s="410"/>
      <c r="O57" s="411"/>
      <c r="P57" s="997"/>
      <c r="Q57" s="1000"/>
    </row>
    <row r="58" spans="2:17" s="44" customFormat="1" ht="13.5" hidden="1" thickBot="1">
      <c r="B58" s="418">
        <v>43006</v>
      </c>
      <c r="C58" s="419" t="s">
        <v>208</v>
      </c>
      <c r="D58" s="420" t="s">
        <v>195</v>
      </c>
      <c r="E58" s="421">
        <v>16192</v>
      </c>
      <c r="F58" s="373">
        <v>1.4</v>
      </c>
      <c r="G58" s="373">
        <f>+E58*F58</f>
        <v>22668.799999999999</v>
      </c>
      <c r="H58" s="373">
        <f>+G58*0.18</f>
        <v>4080.3839999999996</v>
      </c>
      <c r="I58" s="373">
        <f>+H58+G58</f>
        <v>26749.183999999997</v>
      </c>
      <c r="J58" s="419"/>
      <c r="K58" s="420"/>
      <c r="L58" s="420"/>
      <c r="M58" s="373"/>
      <c r="N58" s="422"/>
      <c r="O58" s="423"/>
      <c r="P58" s="998"/>
      <c r="Q58" s="1001"/>
    </row>
    <row r="59" spans="2:17" s="44" customFormat="1" ht="13.5" hidden="1" thickBot="1">
      <c r="B59" s="462"/>
      <c r="C59" s="295"/>
      <c r="D59" s="463"/>
      <c r="E59" s="464"/>
      <c r="F59" s="306"/>
      <c r="G59" s="306"/>
      <c r="H59" s="306"/>
      <c r="I59" s="306"/>
      <c r="J59" s="295"/>
      <c r="K59" s="463"/>
      <c r="L59" s="463"/>
      <c r="M59" s="306"/>
      <c r="N59" s="465"/>
      <c r="O59" s="307"/>
      <c r="P59" s="481"/>
      <c r="Q59" s="482"/>
    </row>
    <row r="60" spans="2:17" s="44" customFormat="1" hidden="1">
      <c r="B60" s="412">
        <v>43003</v>
      </c>
      <c r="C60" s="413" t="s">
        <v>197</v>
      </c>
      <c r="D60" s="414" t="s">
        <v>195</v>
      </c>
      <c r="E60" s="415">
        <v>6570</v>
      </c>
      <c r="F60" s="371">
        <v>4.2</v>
      </c>
      <c r="G60" s="371">
        <f t="shared" ref="G60:G67" si="7">+E60*F60</f>
        <v>27594</v>
      </c>
      <c r="H60" s="371">
        <f t="shared" ref="H60:H67" si="8">+G60*0.18</f>
        <v>4966.92</v>
      </c>
      <c r="I60" s="371">
        <f t="shared" ref="I60:I67" si="9">+G60+H60</f>
        <v>32560.92</v>
      </c>
      <c r="J60" s="371" t="s">
        <v>196</v>
      </c>
      <c r="K60" s="622">
        <v>1214</v>
      </c>
      <c r="L60" s="371" t="s">
        <v>45</v>
      </c>
      <c r="M60" s="371">
        <v>150000</v>
      </c>
      <c r="N60" s="416">
        <v>1.1818181818181819</v>
      </c>
      <c r="O60" s="623" t="s">
        <v>102</v>
      </c>
      <c r="P60" s="371"/>
      <c r="Q60" s="624"/>
    </row>
    <row r="61" spans="2:17" s="44" customFormat="1" hidden="1">
      <c r="B61" s="406">
        <v>43006</v>
      </c>
      <c r="C61" s="407" t="s">
        <v>197</v>
      </c>
      <c r="D61" s="408" t="s">
        <v>195</v>
      </c>
      <c r="E61" s="409">
        <v>6113</v>
      </c>
      <c r="F61" s="372">
        <v>4.2</v>
      </c>
      <c r="G61" s="372">
        <f t="shared" si="7"/>
        <v>25674.600000000002</v>
      </c>
      <c r="H61" s="372">
        <f t="shared" si="8"/>
        <v>4621.4279999999999</v>
      </c>
      <c r="I61" s="372">
        <f t="shared" si="9"/>
        <v>30296.028000000002</v>
      </c>
      <c r="J61" s="372" t="s">
        <v>196</v>
      </c>
      <c r="K61" s="573">
        <v>1237</v>
      </c>
      <c r="L61" s="372" t="s">
        <v>45</v>
      </c>
      <c r="M61" s="372">
        <v>100000</v>
      </c>
      <c r="N61" s="410">
        <v>43060</v>
      </c>
      <c r="O61" s="372" t="s">
        <v>102</v>
      </c>
      <c r="P61" s="372"/>
      <c r="Q61" s="625"/>
    </row>
    <row r="62" spans="2:17" s="44" customFormat="1" hidden="1">
      <c r="B62" s="406">
        <v>43010</v>
      </c>
      <c r="C62" s="407" t="s">
        <v>197</v>
      </c>
      <c r="D62" s="408" t="s">
        <v>195</v>
      </c>
      <c r="E62" s="409">
        <v>2661</v>
      </c>
      <c r="F62" s="372">
        <v>4.4000000000000004</v>
      </c>
      <c r="G62" s="372">
        <f t="shared" si="7"/>
        <v>11708.400000000001</v>
      </c>
      <c r="H62" s="372">
        <f t="shared" si="8"/>
        <v>2107.5120000000002</v>
      </c>
      <c r="I62" s="372">
        <f t="shared" si="9"/>
        <v>13815.912000000002</v>
      </c>
      <c r="J62" s="372" t="s">
        <v>196</v>
      </c>
      <c r="K62" s="573">
        <v>1299</v>
      </c>
      <c r="L62" s="372" t="s">
        <v>45</v>
      </c>
      <c r="M62" s="372">
        <v>150000</v>
      </c>
      <c r="N62" s="410">
        <v>43075</v>
      </c>
      <c r="O62" s="372" t="s">
        <v>102</v>
      </c>
      <c r="P62" s="372"/>
      <c r="Q62" s="625"/>
    </row>
    <row r="63" spans="2:17" s="44" customFormat="1" hidden="1">
      <c r="B63" s="406">
        <v>43021</v>
      </c>
      <c r="C63" s="407" t="s">
        <v>197</v>
      </c>
      <c r="D63" s="408" t="s">
        <v>195</v>
      </c>
      <c r="E63" s="409">
        <v>6120</v>
      </c>
      <c r="F63" s="372">
        <v>4.4000000000000004</v>
      </c>
      <c r="G63" s="372">
        <f t="shared" si="7"/>
        <v>26928.000000000004</v>
      </c>
      <c r="H63" s="372">
        <f t="shared" si="8"/>
        <v>4847.0400000000009</v>
      </c>
      <c r="I63" s="372">
        <f t="shared" si="9"/>
        <v>31775.040000000005</v>
      </c>
      <c r="J63" s="372" t="s">
        <v>196</v>
      </c>
      <c r="K63" s="573">
        <v>193</v>
      </c>
      <c r="L63" s="372" t="s">
        <v>121</v>
      </c>
      <c r="M63" s="372">
        <v>1888.5</v>
      </c>
      <c r="N63" s="372"/>
      <c r="O63" s="372"/>
      <c r="P63" s="372"/>
      <c r="Q63" s="625"/>
    </row>
    <row r="64" spans="2:17" s="44" customFormat="1" hidden="1">
      <c r="B64" s="406">
        <v>43026</v>
      </c>
      <c r="C64" s="407" t="s">
        <v>197</v>
      </c>
      <c r="D64" s="408" t="s">
        <v>195</v>
      </c>
      <c r="E64" s="409">
        <v>3964</v>
      </c>
      <c r="F64" s="372">
        <v>4.4000000000000004</v>
      </c>
      <c r="G64" s="372">
        <f t="shared" si="7"/>
        <v>17441.600000000002</v>
      </c>
      <c r="H64" s="372">
        <f t="shared" si="8"/>
        <v>3139.4880000000003</v>
      </c>
      <c r="I64" s="372">
        <f t="shared" si="9"/>
        <v>20581.088000000003</v>
      </c>
      <c r="J64" s="372" t="s">
        <v>196</v>
      </c>
      <c r="K64" s="573">
        <v>1398</v>
      </c>
      <c r="L64" s="372" t="s">
        <v>45</v>
      </c>
      <c r="M64" s="372">
        <v>100000</v>
      </c>
      <c r="N64" s="372"/>
      <c r="O64" s="372"/>
      <c r="P64" s="372"/>
      <c r="Q64" s="625"/>
    </row>
    <row r="65" spans="2:17" hidden="1">
      <c r="B65" s="406">
        <v>43027</v>
      </c>
      <c r="C65" s="407" t="s">
        <v>197</v>
      </c>
      <c r="D65" s="408" t="s">
        <v>195</v>
      </c>
      <c r="E65" s="409">
        <v>3876</v>
      </c>
      <c r="F65" s="372">
        <v>4.4000000000000004</v>
      </c>
      <c r="G65" s="372">
        <f t="shared" si="7"/>
        <v>17054.400000000001</v>
      </c>
      <c r="H65" s="372">
        <f t="shared" si="8"/>
        <v>3069.7920000000004</v>
      </c>
      <c r="I65" s="372">
        <f t="shared" si="9"/>
        <v>20124.192000000003</v>
      </c>
      <c r="J65" s="372" t="s">
        <v>196</v>
      </c>
      <c r="K65" s="573">
        <v>1399</v>
      </c>
      <c r="L65" s="372" t="s">
        <v>45</v>
      </c>
      <c r="M65" s="372">
        <v>50000</v>
      </c>
      <c r="N65" s="372"/>
      <c r="O65" s="372"/>
      <c r="P65" s="372"/>
      <c r="Q65" s="625"/>
    </row>
    <row r="66" spans="2:17" hidden="1">
      <c r="B66" s="406">
        <v>43031</v>
      </c>
      <c r="C66" s="407" t="s">
        <v>197</v>
      </c>
      <c r="D66" s="408" t="s">
        <v>195</v>
      </c>
      <c r="E66" s="409">
        <v>4967</v>
      </c>
      <c r="F66" s="372">
        <v>4.4000000000000004</v>
      </c>
      <c r="G66" s="372">
        <f t="shared" si="7"/>
        <v>21854.800000000003</v>
      </c>
      <c r="H66" s="372">
        <f t="shared" si="8"/>
        <v>3933.8640000000005</v>
      </c>
      <c r="I66" s="372">
        <f t="shared" si="9"/>
        <v>25788.664000000004</v>
      </c>
      <c r="J66" s="372" t="s">
        <v>196</v>
      </c>
      <c r="K66" s="573">
        <v>1400</v>
      </c>
      <c r="L66" s="372" t="s">
        <v>45</v>
      </c>
      <c r="M66" s="372">
        <v>50000</v>
      </c>
      <c r="N66" s="372"/>
      <c r="O66" s="372"/>
      <c r="P66" s="372"/>
      <c r="Q66" s="625"/>
    </row>
    <row r="67" spans="2:17" hidden="1">
      <c r="B67" s="406">
        <v>43039</v>
      </c>
      <c r="C67" s="407" t="s">
        <v>197</v>
      </c>
      <c r="D67" s="408" t="s">
        <v>195</v>
      </c>
      <c r="E67" s="409">
        <v>2714</v>
      </c>
      <c r="F67" s="372">
        <v>4.4000000000000004</v>
      </c>
      <c r="G67" s="372">
        <f t="shared" si="7"/>
        <v>11941.6</v>
      </c>
      <c r="H67" s="372">
        <f t="shared" si="8"/>
        <v>2149.4879999999998</v>
      </c>
      <c r="I67" s="372">
        <f t="shared" si="9"/>
        <v>14091.088</v>
      </c>
      <c r="J67" s="372"/>
      <c r="K67" s="573"/>
      <c r="L67" s="372"/>
      <c r="M67" s="372"/>
      <c r="N67" s="372"/>
      <c r="O67" s="372"/>
      <c r="P67" s="372"/>
      <c r="Q67" s="625"/>
    </row>
    <row r="68" spans="2:17" hidden="1">
      <c r="B68" s="406"/>
      <c r="C68" s="407"/>
      <c r="D68" s="408"/>
      <c r="E68" s="409"/>
      <c r="F68" s="372"/>
      <c r="G68" s="372"/>
      <c r="H68" s="372"/>
      <c r="I68" s="372"/>
      <c r="J68" s="407"/>
      <c r="K68" s="620"/>
      <c r="L68" s="408"/>
      <c r="M68" s="372"/>
      <c r="N68" s="410"/>
      <c r="O68" s="411"/>
      <c r="P68" s="621"/>
      <c r="Q68" s="626"/>
    </row>
    <row r="69" spans="2:17" hidden="1">
      <c r="B69" s="406">
        <v>43024</v>
      </c>
      <c r="C69" s="407" t="s">
        <v>208</v>
      </c>
      <c r="D69" s="408" t="s">
        <v>195</v>
      </c>
      <c r="E69" s="409">
        <v>40940</v>
      </c>
      <c r="F69" s="372">
        <v>1.4</v>
      </c>
      <c r="G69" s="372">
        <f t="shared" ref="G69:G75" si="10">+E69*F69</f>
        <v>57316</v>
      </c>
      <c r="H69" s="372">
        <f t="shared" ref="H69:H75" si="11">+G69*0.18</f>
        <v>10316.879999999999</v>
      </c>
      <c r="I69" s="372">
        <f t="shared" ref="I69:I75" si="12">+H69+G69</f>
        <v>67632.88</v>
      </c>
      <c r="J69" s="407"/>
      <c r="K69" s="620"/>
      <c r="L69" s="408"/>
      <c r="M69" s="372"/>
      <c r="N69" s="410"/>
      <c r="O69" s="411"/>
      <c r="P69" s="621"/>
      <c r="Q69" s="626"/>
    </row>
    <row r="70" spans="2:17" s="295" customFormat="1" hidden="1">
      <c r="B70" s="406">
        <v>43031</v>
      </c>
      <c r="C70" s="407" t="s">
        <v>208</v>
      </c>
      <c r="D70" s="408" t="s">
        <v>195</v>
      </c>
      <c r="E70" s="409">
        <v>11391</v>
      </c>
      <c r="F70" s="372">
        <v>1.4</v>
      </c>
      <c r="G70" s="372">
        <f t="shared" si="10"/>
        <v>15947.4</v>
      </c>
      <c r="H70" s="372">
        <f t="shared" si="11"/>
        <v>2870.5319999999997</v>
      </c>
      <c r="I70" s="372">
        <f t="shared" si="12"/>
        <v>18817.932000000001</v>
      </c>
      <c r="J70" s="407"/>
      <c r="K70" s="620"/>
      <c r="L70" s="408"/>
      <c r="M70" s="372"/>
      <c r="N70" s="410"/>
      <c r="O70" s="411"/>
      <c r="P70" s="621"/>
      <c r="Q70" s="626"/>
    </row>
    <row r="71" spans="2:17" s="295" customFormat="1" hidden="1">
      <c r="B71" s="406">
        <v>43038</v>
      </c>
      <c r="C71" s="407" t="s">
        <v>208</v>
      </c>
      <c r="D71" s="408" t="s">
        <v>195</v>
      </c>
      <c r="E71" s="409">
        <v>41120</v>
      </c>
      <c r="F71" s="372">
        <v>1.4</v>
      </c>
      <c r="G71" s="372">
        <f t="shared" si="10"/>
        <v>57567.999999999993</v>
      </c>
      <c r="H71" s="372">
        <f t="shared" si="11"/>
        <v>10362.239999999998</v>
      </c>
      <c r="I71" s="372">
        <f t="shared" si="12"/>
        <v>67930.239999999991</v>
      </c>
      <c r="J71" s="407"/>
      <c r="K71" s="620"/>
      <c r="L71" s="408"/>
      <c r="M71" s="372"/>
      <c r="N71" s="410"/>
      <c r="O71" s="411"/>
      <c r="P71" s="621"/>
      <c r="Q71" s="626"/>
    </row>
    <row r="72" spans="2:17" hidden="1">
      <c r="B72" s="406">
        <v>43039</v>
      </c>
      <c r="C72" s="407" t="s">
        <v>208</v>
      </c>
      <c r="D72" s="408" t="s">
        <v>195</v>
      </c>
      <c r="E72" s="409">
        <v>6073</v>
      </c>
      <c r="F72" s="372">
        <v>1.4</v>
      </c>
      <c r="G72" s="372">
        <f t="shared" si="10"/>
        <v>8502.1999999999989</v>
      </c>
      <c r="H72" s="372">
        <f t="shared" si="11"/>
        <v>1530.3959999999997</v>
      </c>
      <c r="I72" s="372">
        <f t="shared" si="12"/>
        <v>10032.595999999998</v>
      </c>
      <c r="J72" s="407"/>
      <c r="K72" s="620"/>
      <c r="L72" s="408"/>
      <c r="M72" s="372"/>
      <c r="N72" s="410"/>
      <c r="O72" s="411"/>
      <c r="P72" s="621"/>
      <c r="Q72" s="626"/>
    </row>
    <row r="73" spans="2:17" hidden="1">
      <c r="B73" s="406">
        <v>43045</v>
      </c>
      <c r="C73" s="407" t="s">
        <v>208</v>
      </c>
      <c r="D73" s="408" t="s">
        <v>195</v>
      </c>
      <c r="E73" s="409">
        <v>18422</v>
      </c>
      <c r="F73" s="372">
        <v>1.4</v>
      </c>
      <c r="G73" s="372">
        <f t="shared" si="10"/>
        <v>25790.799999999999</v>
      </c>
      <c r="H73" s="372">
        <f t="shared" si="11"/>
        <v>4642.3440000000001</v>
      </c>
      <c r="I73" s="372">
        <f t="shared" si="12"/>
        <v>30433.144</v>
      </c>
      <c r="J73" s="407"/>
      <c r="K73" s="620"/>
      <c r="L73" s="408"/>
      <c r="M73" s="372"/>
      <c r="N73" s="410"/>
      <c r="O73" s="411"/>
      <c r="P73" s="621"/>
      <c r="Q73" s="626"/>
    </row>
    <row r="74" spans="2:17" hidden="1">
      <c r="B74" s="406">
        <v>43056</v>
      </c>
      <c r="C74" s="407" t="s">
        <v>208</v>
      </c>
      <c r="D74" s="408" t="s">
        <v>195</v>
      </c>
      <c r="E74" s="409">
        <v>41320</v>
      </c>
      <c r="F74" s="372">
        <v>1.4</v>
      </c>
      <c r="G74" s="372">
        <f t="shared" si="10"/>
        <v>57847.999999999993</v>
      </c>
      <c r="H74" s="372">
        <f t="shared" si="11"/>
        <v>10412.639999999998</v>
      </c>
      <c r="I74" s="372">
        <f t="shared" si="12"/>
        <v>68260.639999999985</v>
      </c>
      <c r="J74" s="407"/>
      <c r="K74" s="620"/>
      <c r="L74" s="408"/>
      <c r="M74" s="372"/>
      <c r="N74" s="410"/>
      <c r="O74" s="411"/>
      <c r="P74" s="621"/>
      <c r="Q74" s="626"/>
    </row>
    <row r="75" spans="2:17" hidden="1">
      <c r="B75" s="406">
        <v>43059</v>
      </c>
      <c r="C75" s="407" t="s">
        <v>208</v>
      </c>
      <c r="D75" s="408" t="s">
        <v>195</v>
      </c>
      <c r="E75" s="409">
        <v>34280</v>
      </c>
      <c r="F75" s="372">
        <v>1.45</v>
      </c>
      <c r="G75" s="372">
        <f t="shared" si="10"/>
        <v>49706</v>
      </c>
      <c r="H75" s="372">
        <f t="shared" si="11"/>
        <v>8947.08</v>
      </c>
      <c r="I75" s="372">
        <f t="shared" si="12"/>
        <v>58653.08</v>
      </c>
      <c r="J75" s="407"/>
      <c r="K75" s="408"/>
      <c r="L75" s="408"/>
      <c r="M75" s="372"/>
      <c r="N75" s="410"/>
      <c r="O75" s="411"/>
      <c r="P75" s="621"/>
      <c r="Q75" s="626"/>
    </row>
    <row r="76" spans="2:17" hidden="1">
      <c r="B76" s="406"/>
      <c r="C76" s="407"/>
      <c r="D76" s="408"/>
      <c r="E76" s="409"/>
      <c r="F76" s="372"/>
      <c r="G76" s="372"/>
      <c r="H76" s="372"/>
      <c r="I76" s="372"/>
      <c r="J76" s="407"/>
      <c r="K76" s="408"/>
      <c r="L76" s="408"/>
      <c r="M76" s="372"/>
      <c r="N76" s="410"/>
      <c r="O76" s="411"/>
      <c r="P76" s="621"/>
      <c r="Q76" s="626"/>
    </row>
    <row r="77" spans="2:17" hidden="1">
      <c r="B77" s="406">
        <v>43054</v>
      </c>
      <c r="C77" s="407" t="s">
        <v>203</v>
      </c>
      <c r="D77" s="408" t="s">
        <v>195</v>
      </c>
      <c r="E77" s="409">
        <v>400</v>
      </c>
      <c r="F77" s="372">
        <v>4</v>
      </c>
      <c r="G77" s="372">
        <f>+E77*F77</f>
        <v>1600</v>
      </c>
      <c r="H77" s="372">
        <f>+G77*0.18</f>
        <v>288</v>
      </c>
      <c r="I77" s="372">
        <f>+H77+G77</f>
        <v>1888</v>
      </c>
      <c r="J77" s="407"/>
      <c r="K77" s="408"/>
      <c r="L77" s="408"/>
      <c r="M77" s="372"/>
      <c r="N77" s="410"/>
      <c r="O77" s="411"/>
      <c r="P77" s="621"/>
      <c r="Q77" s="626"/>
    </row>
    <row r="78" spans="2:17" hidden="1">
      <c r="B78" s="406">
        <v>43054</v>
      </c>
      <c r="C78" s="407" t="s">
        <v>197</v>
      </c>
      <c r="D78" s="408" t="s">
        <v>195</v>
      </c>
      <c r="E78" s="409">
        <v>2850</v>
      </c>
      <c r="F78" s="372">
        <v>4.4000000000000004</v>
      </c>
      <c r="G78" s="372">
        <f>+E78*F78</f>
        <v>12540.000000000002</v>
      </c>
      <c r="H78" s="372">
        <f>+G78*0.18</f>
        <v>2257.2000000000003</v>
      </c>
      <c r="I78" s="372">
        <f>+H78+G78</f>
        <v>14797.200000000003</v>
      </c>
      <c r="J78" s="407"/>
      <c r="K78" s="408"/>
      <c r="L78" s="408"/>
      <c r="M78" s="372"/>
      <c r="N78" s="410"/>
      <c r="O78" s="411"/>
      <c r="P78" s="621"/>
      <c r="Q78" s="626"/>
    </row>
    <row r="79" spans="2:17" hidden="1">
      <c r="B79" s="406">
        <v>43052</v>
      </c>
      <c r="C79" s="407" t="s">
        <v>197</v>
      </c>
      <c r="D79" s="408" t="s">
        <v>195</v>
      </c>
      <c r="E79" s="409">
        <v>4924</v>
      </c>
      <c r="F79" s="372">
        <v>4.4000000000000004</v>
      </c>
      <c r="G79" s="372">
        <f>+E79*F79</f>
        <v>21665.600000000002</v>
      </c>
      <c r="H79" s="372">
        <f>+G79*0.18</f>
        <v>3899.8080000000004</v>
      </c>
      <c r="I79" s="372">
        <f>+H79+G79</f>
        <v>25565.408000000003</v>
      </c>
      <c r="J79" s="407"/>
      <c r="K79" s="408"/>
      <c r="L79" s="408"/>
      <c r="M79" s="372"/>
      <c r="N79" s="410"/>
      <c r="O79" s="411"/>
      <c r="P79" s="621"/>
      <c r="Q79" s="626"/>
    </row>
    <row r="80" spans="2:17" hidden="1">
      <c r="B80" s="406">
        <v>43049</v>
      </c>
      <c r="C80" s="407" t="s">
        <v>266</v>
      </c>
      <c r="D80" s="408" t="s">
        <v>195</v>
      </c>
      <c r="E80" s="409">
        <v>3500</v>
      </c>
      <c r="F80" s="372">
        <v>0.3</v>
      </c>
      <c r="G80" s="372">
        <f>+E80*F80</f>
        <v>1050</v>
      </c>
      <c r="H80" s="372">
        <f>+G80*0.18</f>
        <v>189</v>
      </c>
      <c r="I80" s="372">
        <f>+H80+G80</f>
        <v>1239</v>
      </c>
      <c r="J80" s="407"/>
      <c r="K80" s="408"/>
      <c r="L80" s="408"/>
      <c r="M80" s="372"/>
      <c r="N80" s="410"/>
      <c r="O80" s="411"/>
      <c r="P80" s="621"/>
      <c r="Q80" s="626"/>
    </row>
    <row r="81" spans="2:17" hidden="1">
      <c r="B81" s="406">
        <v>43055</v>
      </c>
      <c r="C81" s="407" t="s">
        <v>266</v>
      </c>
      <c r="D81" s="408" t="s">
        <v>195</v>
      </c>
      <c r="E81" s="409">
        <v>13320</v>
      </c>
      <c r="F81" s="372">
        <v>0.3</v>
      </c>
      <c r="G81" s="372">
        <f>+E81*F81</f>
        <v>3996</v>
      </c>
      <c r="H81" s="372">
        <f>+G81*0.18</f>
        <v>719.28</v>
      </c>
      <c r="I81" s="372">
        <f>+H81+G81</f>
        <v>4715.28</v>
      </c>
      <c r="J81" s="407"/>
      <c r="K81" s="408"/>
      <c r="L81" s="408"/>
      <c r="M81" s="372"/>
      <c r="N81" s="410"/>
      <c r="O81" s="411"/>
      <c r="P81" s="621"/>
      <c r="Q81" s="626"/>
    </row>
    <row r="82" spans="2:17" hidden="1">
      <c r="B82" s="406"/>
      <c r="C82" s="407"/>
      <c r="D82" s="408"/>
      <c r="E82" s="409"/>
      <c r="F82" s="372"/>
      <c r="G82" s="372"/>
      <c r="H82" s="372"/>
      <c r="I82" s="372"/>
      <c r="J82" s="407"/>
      <c r="K82" s="408"/>
      <c r="L82" s="408"/>
      <c r="M82" s="372"/>
      <c r="N82" s="410"/>
      <c r="O82" s="411"/>
      <c r="P82" s="621"/>
      <c r="Q82" s="626"/>
    </row>
    <row r="83" spans="2:17" ht="13.5" hidden="1" thickBot="1">
      <c r="B83" s="418">
        <v>43083</v>
      </c>
      <c r="C83" s="419" t="s">
        <v>197</v>
      </c>
      <c r="D83" s="420" t="s">
        <v>195</v>
      </c>
      <c r="E83" s="421">
        <v>5295</v>
      </c>
      <c r="F83" s="373">
        <v>4.4000000000000004</v>
      </c>
      <c r="G83" s="373">
        <f>+E83*F83</f>
        <v>23298.000000000004</v>
      </c>
      <c r="H83" s="373">
        <f>+G83*0.18</f>
        <v>4193.6400000000003</v>
      </c>
      <c r="I83" s="373">
        <f>+H83+G83</f>
        <v>27491.640000000003</v>
      </c>
      <c r="J83" s="419"/>
      <c r="K83" s="420"/>
      <c r="L83" s="420"/>
      <c r="M83" s="373"/>
      <c r="N83" s="422"/>
      <c r="O83" s="423"/>
      <c r="P83" s="627"/>
      <c r="Q83" s="628"/>
    </row>
    <row r="84" spans="2:17" ht="13.5" hidden="1" thickBot="1"/>
    <row r="85" spans="2:17" hidden="1">
      <c r="B85" s="412">
        <v>43074</v>
      </c>
      <c r="C85" s="413" t="s">
        <v>208</v>
      </c>
      <c r="D85" s="414" t="s">
        <v>195</v>
      </c>
      <c r="E85" s="639">
        <v>39980</v>
      </c>
      <c r="F85" s="371">
        <v>1.45</v>
      </c>
      <c r="G85" s="371">
        <f>+E85*F85</f>
        <v>57971</v>
      </c>
      <c r="H85" s="371">
        <f>+G85*0.18</f>
        <v>10434.779999999999</v>
      </c>
      <c r="I85" s="371">
        <f>+H85+G85</f>
        <v>68405.78</v>
      </c>
      <c r="J85" s="413"/>
      <c r="K85" s="414"/>
      <c r="L85" s="414"/>
      <c r="M85" s="371"/>
      <c r="N85" s="416"/>
      <c r="O85" s="417"/>
      <c r="P85" s="640"/>
      <c r="Q85" s="641"/>
    </row>
    <row r="86" spans="2:17" hidden="1">
      <c r="B86" s="406">
        <v>43084</v>
      </c>
      <c r="C86" s="407" t="s">
        <v>208</v>
      </c>
      <c r="D86" s="408" t="s">
        <v>195</v>
      </c>
      <c r="E86" s="409">
        <v>39860</v>
      </c>
      <c r="F86" s="372">
        <v>1.45</v>
      </c>
      <c r="G86" s="372">
        <f>+E86*F86</f>
        <v>57797</v>
      </c>
      <c r="H86" s="372">
        <f>+G86*0.18</f>
        <v>10403.459999999999</v>
      </c>
      <c r="I86" s="372">
        <f>+H86+G86</f>
        <v>68200.459999999992</v>
      </c>
      <c r="J86" s="407"/>
      <c r="K86" s="408"/>
      <c r="L86" s="408"/>
      <c r="M86" s="372"/>
      <c r="N86" s="410"/>
      <c r="O86" s="411"/>
      <c r="P86" s="621"/>
      <c r="Q86" s="626"/>
    </row>
    <row r="87" spans="2:17" hidden="1">
      <c r="B87" s="406">
        <v>43098</v>
      </c>
      <c r="C87" s="407" t="s">
        <v>208</v>
      </c>
      <c r="D87" s="408" t="s">
        <v>195</v>
      </c>
      <c r="E87" s="409">
        <v>39780</v>
      </c>
      <c r="F87" s="372">
        <v>1.45</v>
      </c>
      <c r="G87" s="372">
        <f>+E87*F87</f>
        <v>57681</v>
      </c>
      <c r="H87" s="372">
        <f>+G87*0.18</f>
        <v>10382.58</v>
      </c>
      <c r="I87" s="372">
        <f>+H87+G87</f>
        <v>68063.58</v>
      </c>
      <c r="J87" s="407"/>
      <c r="K87" s="408"/>
      <c r="L87" s="408"/>
      <c r="M87" s="372"/>
      <c r="N87" s="410"/>
      <c r="O87" s="411"/>
      <c r="P87" s="621"/>
      <c r="Q87" s="626"/>
    </row>
    <row r="88" spans="2:17" hidden="1">
      <c r="B88" s="406"/>
      <c r="C88" s="407"/>
      <c r="D88" s="408"/>
      <c r="E88" s="409"/>
      <c r="F88" s="372"/>
      <c r="G88" s="372"/>
      <c r="H88" s="372"/>
      <c r="I88" s="372"/>
      <c r="J88" s="407"/>
      <c r="K88" s="408"/>
      <c r="L88" s="408"/>
      <c r="M88" s="372"/>
      <c r="N88" s="410"/>
      <c r="O88" s="411"/>
      <c r="P88" s="621"/>
      <c r="Q88" s="626"/>
    </row>
    <row r="89" spans="2:17" hidden="1">
      <c r="B89" s="406">
        <v>43054</v>
      </c>
      <c r="C89" s="407" t="s">
        <v>276</v>
      </c>
      <c r="D89" s="408" t="s">
        <v>195</v>
      </c>
      <c r="E89" s="409">
        <v>573</v>
      </c>
      <c r="F89" s="372">
        <v>33</v>
      </c>
      <c r="G89" s="372">
        <f>+E89*F89</f>
        <v>18909</v>
      </c>
      <c r="H89" s="372">
        <f>+G89*0.18</f>
        <v>3403.62</v>
      </c>
      <c r="I89" s="372">
        <f>+H89+G89</f>
        <v>22312.62</v>
      </c>
      <c r="J89" s="407"/>
      <c r="K89" s="408"/>
      <c r="L89" s="408"/>
      <c r="M89" s="372"/>
      <c r="N89" s="410"/>
      <c r="O89" s="411"/>
      <c r="P89" s="621"/>
      <c r="Q89" s="626"/>
    </row>
    <row r="90" spans="2:17" hidden="1">
      <c r="B90" s="406">
        <v>43076</v>
      </c>
      <c r="C90" s="407" t="s">
        <v>276</v>
      </c>
      <c r="D90" s="408" t="s">
        <v>195</v>
      </c>
      <c r="E90" s="409">
        <v>621</v>
      </c>
      <c r="F90" s="372">
        <v>33</v>
      </c>
      <c r="G90" s="372">
        <f>+E90*F90</f>
        <v>20493</v>
      </c>
      <c r="H90" s="372">
        <f>+G90*0.18</f>
        <v>3688.74</v>
      </c>
      <c r="I90" s="372">
        <f>+H90+G90</f>
        <v>24181.739999999998</v>
      </c>
      <c r="J90" s="407"/>
      <c r="K90" s="408"/>
      <c r="L90" s="408"/>
      <c r="M90" s="372"/>
      <c r="N90" s="410"/>
      <c r="O90" s="411"/>
      <c r="P90" s="621"/>
      <c r="Q90" s="626"/>
    </row>
    <row r="91" spans="2:17" hidden="1">
      <c r="B91" s="406">
        <v>43091</v>
      </c>
      <c r="C91" s="407" t="s">
        <v>276</v>
      </c>
      <c r="D91" s="408" t="s">
        <v>195</v>
      </c>
      <c r="E91" s="409">
        <v>509</v>
      </c>
      <c r="F91" s="372">
        <v>33</v>
      </c>
      <c r="G91" s="372">
        <f>+E91*F91</f>
        <v>16797</v>
      </c>
      <c r="H91" s="372">
        <f>+G91*0.18</f>
        <v>3023.46</v>
      </c>
      <c r="I91" s="372">
        <f>+H91+G91</f>
        <v>19820.46</v>
      </c>
      <c r="J91" s="407"/>
      <c r="K91" s="408"/>
      <c r="L91" s="408"/>
      <c r="M91" s="372"/>
      <c r="N91" s="410"/>
      <c r="O91" s="411"/>
      <c r="P91" s="621"/>
      <c r="Q91" s="626"/>
    </row>
    <row r="92" spans="2:17" hidden="1">
      <c r="B92" s="406">
        <v>43095</v>
      </c>
      <c r="C92" s="407" t="s">
        <v>276</v>
      </c>
      <c r="D92" s="408" t="s">
        <v>195</v>
      </c>
      <c r="E92" s="409">
        <v>773</v>
      </c>
      <c r="F92" s="372">
        <v>33</v>
      </c>
      <c r="G92" s="372">
        <f>+E92*F92</f>
        <v>25509</v>
      </c>
      <c r="H92" s="372">
        <f>+G92*0.18</f>
        <v>4591.62</v>
      </c>
      <c r="I92" s="372">
        <f>+H92+G92</f>
        <v>30100.62</v>
      </c>
      <c r="J92" s="407"/>
      <c r="K92" s="408"/>
      <c r="L92" s="408"/>
      <c r="M92" s="372"/>
      <c r="N92" s="410"/>
      <c r="O92" s="411"/>
      <c r="P92" s="621"/>
      <c r="Q92" s="626"/>
    </row>
    <row r="93" spans="2:17" hidden="1">
      <c r="B93" s="406">
        <v>43097</v>
      </c>
      <c r="C93" s="407" t="s">
        <v>276</v>
      </c>
      <c r="D93" s="408" t="s">
        <v>195</v>
      </c>
      <c r="E93" s="409">
        <v>423</v>
      </c>
      <c r="F93" s="372">
        <v>33</v>
      </c>
      <c r="G93" s="372">
        <f>+E93*F93</f>
        <v>13959</v>
      </c>
      <c r="H93" s="372">
        <f>+G93*0.18</f>
        <v>2512.62</v>
      </c>
      <c r="I93" s="372">
        <f>+H93+G93</f>
        <v>16471.62</v>
      </c>
      <c r="J93" s="407"/>
      <c r="K93" s="408"/>
      <c r="L93" s="408"/>
      <c r="M93" s="372"/>
      <c r="N93" s="410"/>
      <c r="O93" s="411"/>
      <c r="P93" s="621"/>
      <c r="Q93" s="626"/>
    </row>
    <row r="94" spans="2:17" hidden="1">
      <c r="B94" s="406"/>
      <c r="C94" s="407"/>
      <c r="D94" s="408"/>
      <c r="E94" s="409"/>
      <c r="F94" s="372"/>
      <c r="G94" s="372"/>
      <c r="H94" s="372"/>
      <c r="I94" s="372"/>
      <c r="J94" s="407"/>
      <c r="K94" s="408"/>
      <c r="L94" s="408"/>
      <c r="M94" s="372"/>
      <c r="N94" s="410"/>
      <c r="O94" s="411"/>
      <c r="P94" s="621"/>
      <c r="Q94" s="626"/>
    </row>
    <row r="95" spans="2:17" hidden="1">
      <c r="B95" s="406">
        <v>43076</v>
      </c>
      <c r="C95" s="407" t="s">
        <v>197</v>
      </c>
      <c r="D95" s="408" t="s">
        <v>195</v>
      </c>
      <c r="E95" s="409">
        <v>11627</v>
      </c>
      <c r="F95" s="372">
        <v>4.4000000000000004</v>
      </c>
      <c r="G95" s="372">
        <f>+E95*F95</f>
        <v>51158.8</v>
      </c>
      <c r="H95" s="372">
        <f>+G95*0.18</f>
        <v>9208.5840000000007</v>
      </c>
      <c r="I95" s="372">
        <f>+H95+G95</f>
        <v>60367.384000000005</v>
      </c>
      <c r="J95" s="407"/>
      <c r="K95" s="408"/>
      <c r="L95" s="408"/>
      <c r="M95" s="372"/>
      <c r="N95" s="410"/>
      <c r="O95" s="411"/>
      <c r="P95" s="621"/>
      <c r="Q95" s="626"/>
    </row>
    <row r="96" spans="2:17" hidden="1">
      <c r="B96" s="406">
        <v>43091</v>
      </c>
      <c r="C96" s="407" t="s">
        <v>197</v>
      </c>
      <c r="D96" s="408" t="s">
        <v>195</v>
      </c>
      <c r="E96" s="409">
        <v>2510</v>
      </c>
      <c r="F96" s="372">
        <v>4.4000000000000004</v>
      </c>
      <c r="G96" s="372">
        <f>+E96*F96</f>
        <v>11044</v>
      </c>
      <c r="H96" s="372">
        <f>+G96*0.18</f>
        <v>1987.9199999999998</v>
      </c>
      <c r="I96" s="372">
        <f>+H96+G96</f>
        <v>13031.92</v>
      </c>
      <c r="J96" s="407"/>
      <c r="K96" s="408"/>
      <c r="L96" s="408"/>
      <c r="M96" s="372"/>
      <c r="N96" s="410"/>
      <c r="O96" s="411"/>
      <c r="P96" s="621"/>
      <c r="Q96" s="626"/>
    </row>
    <row r="97" spans="2:17" hidden="1">
      <c r="B97" s="406">
        <v>43095</v>
      </c>
      <c r="C97" s="407" t="s">
        <v>197</v>
      </c>
      <c r="D97" s="408" t="s">
        <v>195</v>
      </c>
      <c r="E97" s="409">
        <v>1602</v>
      </c>
      <c r="F97" s="372">
        <v>4.4000000000000004</v>
      </c>
      <c r="G97" s="372">
        <f>+E97*F97</f>
        <v>7048.8</v>
      </c>
      <c r="H97" s="372">
        <f>+G97*0.18</f>
        <v>1268.7839999999999</v>
      </c>
      <c r="I97" s="372">
        <f>+H97+G97</f>
        <v>8317.5840000000007</v>
      </c>
      <c r="J97" s="407"/>
      <c r="K97" s="408"/>
      <c r="L97" s="408"/>
      <c r="M97" s="372"/>
      <c r="N97" s="410"/>
      <c r="O97" s="411"/>
      <c r="P97" s="621"/>
      <c r="Q97" s="626"/>
    </row>
    <row r="98" spans="2:17" ht="13.5" hidden="1" thickBot="1">
      <c r="B98" s="418">
        <v>43097</v>
      </c>
      <c r="C98" s="419" t="s">
        <v>197</v>
      </c>
      <c r="D98" s="420" t="s">
        <v>195</v>
      </c>
      <c r="E98" s="421">
        <v>436</v>
      </c>
      <c r="F98" s="373">
        <v>4.4000000000000004</v>
      </c>
      <c r="G98" s="373">
        <f>+E98*F98</f>
        <v>1918.4</v>
      </c>
      <c r="H98" s="373">
        <f>+G98*0.18</f>
        <v>345.31200000000001</v>
      </c>
      <c r="I98" s="373">
        <f>+H98+G98</f>
        <v>2263.712</v>
      </c>
      <c r="J98" s="419"/>
      <c r="K98" s="420"/>
      <c r="L98" s="420"/>
      <c r="M98" s="373"/>
      <c r="N98" s="422"/>
      <c r="O98" s="423"/>
      <c r="P98" s="627"/>
      <c r="Q98" s="628"/>
    </row>
    <row r="99" spans="2:17" hidden="1">
      <c r="B99" s="427"/>
      <c r="C99" s="428"/>
      <c r="D99" s="429"/>
      <c r="E99" s="430"/>
      <c r="F99" s="431"/>
      <c r="G99" s="431"/>
      <c r="H99" s="431"/>
      <c r="I99" s="431"/>
    </row>
    <row r="100" spans="2:17">
      <c r="B100" s="650">
        <v>43104</v>
      </c>
      <c r="C100" s="433" t="s">
        <v>197</v>
      </c>
      <c r="D100" s="651" t="s">
        <v>195</v>
      </c>
      <c r="E100" s="652">
        <v>4864</v>
      </c>
      <c r="F100" s="653">
        <v>4.4000000000000004</v>
      </c>
      <c r="G100" s="653">
        <f t="shared" ref="G100:G131" si="13">+E100*F100</f>
        <v>21401.600000000002</v>
      </c>
      <c r="H100" s="653">
        <f t="shared" ref="H100:H131" si="14">+G100*0.19</f>
        <v>4066.3040000000005</v>
      </c>
      <c r="I100" s="653">
        <f t="shared" ref="I100:I131" si="15">+H100+G100</f>
        <v>25467.904000000002</v>
      </c>
    </row>
    <row r="101" spans="2:17">
      <c r="B101" s="650">
        <v>43105</v>
      </c>
      <c r="C101" s="433" t="s">
        <v>197</v>
      </c>
      <c r="D101" s="651" t="s">
        <v>195</v>
      </c>
      <c r="E101" s="652">
        <v>4068</v>
      </c>
      <c r="F101" s="653">
        <v>4.4000000000000004</v>
      </c>
      <c r="G101" s="653">
        <f t="shared" si="13"/>
        <v>17899.2</v>
      </c>
      <c r="H101" s="653">
        <f t="shared" si="14"/>
        <v>3400.848</v>
      </c>
      <c r="I101" s="653">
        <f t="shared" si="15"/>
        <v>21300.048000000003</v>
      </c>
    </row>
    <row r="102" spans="2:17">
      <c r="B102" s="654">
        <v>43112</v>
      </c>
      <c r="C102" s="437" t="s">
        <v>197</v>
      </c>
      <c r="D102" s="655" t="s">
        <v>195</v>
      </c>
      <c r="E102" s="466">
        <v>2070</v>
      </c>
      <c r="F102" s="656">
        <v>4.4000000000000004</v>
      </c>
      <c r="G102" s="656">
        <f t="shared" si="13"/>
        <v>9108</v>
      </c>
      <c r="H102" s="656">
        <f t="shared" si="14"/>
        <v>1730.52</v>
      </c>
      <c r="I102" s="656">
        <f t="shared" si="15"/>
        <v>10838.52</v>
      </c>
    </row>
    <row r="103" spans="2:17">
      <c r="B103" s="654">
        <v>43123</v>
      </c>
      <c r="C103" s="437" t="s">
        <v>197</v>
      </c>
      <c r="D103" s="655" t="s">
        <v>195</v>
      </c>
      <c r="E103" s="466">
        <v>7034</v>
      </c>
      <c r="F103" s="656">
        <v>4.4000000000000004</v>
      </c>
      <c r="G103" s="656">
        <f t="shared" si="13"/>
        <v>30949.600000000002</v>
      </c>
      <c r="H103" s="656">
        <f t="shared" si="14"/>
        <v>5880.4240000000009</v>
      </c>
      <c r="I103" s="656">
        <f t="shared" si="15"/>
        <v>36830.024000000005</v>
      </c>
    </row>
    <row r="104" spans="2:17">
      <c r="B104" s="654">
        <v>43123</v>
      </c>
      <c r="C104" s="437" t="s">
        <v>197</v>
      </c>
      <c r="D104" s="655" t="s">
        <v>195</v>
      </c>
      <c r="E104" s="466">
        <v>5131</v>
      </c>
      <c r="F104" s="656">
        <v>4.4000000000000004</v>
      </c>
      <c r="G104" s="656">
        <f t="shared" si="13"/>
        <v>22576.400000000001</v>
      </c>
      <c r="H104" s="656">
        <f t="shared" si="14"/>
        <v>4289.5160000000005</v>
      </c>
      <c r="I104" s="656">
        <f t="shared" si="15"/>
        <v>26865.916000000001</v>
      </c>
    </row>
    <row r="105" spans="2:17">
      <c r="B105" s="654">
        <v>43124</v>
      </c>
      <c r="C105" s="437" t="s">
        <v>197</v>
      </c>
      <c r="D105" s="655" t="s">
        <v>195</v>
      </c>
      <c r="E105" s="466">
        <v>4011</v>
      </c>
      <c r="F105" s="656">
        <v>4.4000000000000004</v>
      </c>
      <c r="G105" s="656">
        <f t="shared" si="13"/>
        <v>17648.400000000001</v>
      </c>
      <c r="H105" s="656">
        <f t="shared" si="14"/>
        <v>3353.1960000000004</v>
      </c>
      <c r="I105" s="656">
        <f t="shared" si="15"/>
        <v>21001.596000000001</v>
      </c>
    </row>
    <row r="106" spans="2:17">
      <c r="B106" s="654">
        <v>43125</v>
      </c>
      <c r="C106" s="437" t="s">
        <v>197</v>
      </c>
      <c r="D106" s="655" t="s">
        <v>195</v>
      </c>
      <c r="E106" s="466">
        <v>2590</v>
      </c>
      <c r="F106" s="656">
        <v>4.4000000000000004</v>
      </c>
      <c r="G106" s="656">
        <f t="shared" si="13"/>
        <v>11396.000000000002</v>
      </c>
      <c r="H106" s="656">
        <f t="shared" si="14"/>
        <v>2165.2400000000002</v>
      </c>
      <c r="I106" s="656">
        <f t="shared" si="15"/>
        <v>13561.240000000002</v>
      </c>
    </row>
    <row r="107" spans="2:17">
      <c r="B107" s="654">
        <v>43126</v>
      </c>
      <c r="C107" s="437" t="s">
        <v>197</v>
      </c>
      <c r="D107" s="655" t="s">
        <v>195</v>
      </c>
      <c r="E107" s="466">
        <v>2196</v>
      </c>
      <c r="F107" s="656">
        <v>4.4000000000000004</v>
      </c>
      <c r="G107" s="656">
        <f t="shared" si="13"/>
        <v>9662.4000000000015</v>
      </c>
      <c r="H107" s="656">
        <f t="shared" si="14"/>
        <v>1835.8560000000002</v>
      </c>
      <c r="I107" s="656">
        <f t="shared" si="15"/>
        <v>11498.256000000001</v>
      </c>
    </row>
    <row r="108" spans="2:17">
      <c r="B108" s="654">
        <v>43127</v>
      </c>
      <c r="C108" s="437" t="s">
        <v>197</v>
      </c>
      <c r="D108" s="655" t="s">
        <v>195</v>
      </c>
      <c r="E108" s="466">
        <v>2745</v>
      </c>
      <c r="F108" s="656">
        <v>4.4000000000000004</v>
      </c>
      <c r="G108" s="656">
        <f t="shared" si="13"/>
        <v>12078.000000000002</v>
      </c>
      <c r="H108" s="656">
        <f t="shared" si="14"/>
        <v>2294.8200000000002</v>
      </c>
      <c r="I108" s="656">
        <f t="shared" si="15"/>
        <v>14372.820000000002</v>
      </c>
    </row>
    <row r="109" spans="2:17">
      <c r="B109" s="654">
        <v>43129</v>
      </c>
      <c r="C109" s="437" t="s">
        <v>197</v>
      </c>
      <c r="D109" s="655" t="s">
        <v>195</v>
      </c>
      <c r="E109" s="466">
        <v>4017</v>
      </c>
      <c r="F109" s="656">
        <v>4.4000000000000004</v>
      </c>
      <c r="G109" s="656">
        <f t="shared" si="13"/>
        <v>17674.800000000003</v>
      </c>
      <c r="H109" s="656">
        <f t="shared" si="14"/>
        <v>3358.2120000000004</v>
      </c>
      <c r="I109" s="656">
        <f t="shared" si="15"/>
        <v>21033.012000000002</v>
      </c>
    </row>
    <row r="110" spans="2:17">
      <c r="B110" s="654">
        <v>43130</v>
      </c>
      <c r="C110" s="437" t="s">
        <v>197</v>
      </c>
      <c r="D110" s="655" t="s">
        <v>195</v>
      </c>
      <c r="E110" s="466">
        <v>2494</v>
      </c>
      <c r="F110" s="656">
        <v>4.4000000000000004</v>
      </c>
      <c r="G110" s="656">
        <f t="shared" si="13"/>
        <v>10973.6</v>
      </c>
      <c r="H110" s="656">
        <f t="shared" si="14"/>
        <v>2084.9839999999999</v>
      </c>
      <c r="I110" s="656">
        <f t="shared" si="15"/>
        <v>13058.584000000001</v>
      </c>
    </row>
    <row r="111" spans="2:17">
      <c r="B111" s="654">
        <v>43131</v>
      </c>
      <c r="C111" s="437" t="s">
        <v>197</v>
      </c>
      <c r="D111" s="655" t="s">
        <v>195</v>
      </c>
      <c r="E111" s="466">
        <v>1915</v>
      </c>
      <c r="F111" s="656">
        <v>4.4000000000000004</v>
      </c>
      <c r="G111" s="656">
        <f t="shared" si="13"/>
        <v>8426</v>
      </c>
      <c r="H111" s="656">
        <f t="shared" si="14"/>
        <v>1600.94</v>
      </c>
      <c r="I111" s="656">
        <f t="shared" si="15"/>
        <v>10026.94</v>
      </c>
    </row>
    <row r="112" spans="2:17">
      <c r="B112" s="434">
        <v>43132</v>
      </c>
      <c r="C112" s="26" t="s">
        <v>197</v>
      </c>
      <c r="D112" s="435" t="s">
        <v>195</v>
      </c>
      <c r="E112" s="331">
        <v>2344</v>
      </c>
      <c r="F112" s="426">
        <v>4.4000000000000004</v>
      </c>
      <c r="G112" s="426">
        <f t="shared" si="13"/>
        <v>10313.6</v>
      </c>
      <c r="H112" s="426">
        <f t="shared" si="14"/>
        <v>1959.5840000000001</v>
      </c>
      <c r="I112" s="426">
        <f t="shared" si="15"/>
        <v>12273.184000000001</v>
      </c>
    </row>
    <row r="113" spans="1:12">
      <c r="B113" s="434">
        <v>43133</v>
      </c>
      <c r="C113" s="26" t="s">
        <v>197</v>
      </c>
      <c r="D113" s="435" t="s">
        <v>195</v>
      </c>
      <c r="E113" s="331">
        <v>2366</v>
      </c>
      <c r="F113" s="426">
        <v>4.4000000000000004</v>
      </c>
      <c r="G113" s="426">
        <f t="shared" si="13"/>
        <v>10410.400000000001</v>
      </c>
      <c r="H113" s="426">
        <f t="shared" si="14"/>
        <v>1977.9760000000003</v>
      </c>
      <c r="I113" s="426">
        <f t="shared" si="15"/>
        <v>12388.376000000002</v>
      </c>
    </row>
    <row r="114" spans="1:12">
      <c r="B114" s="434">
        <v>43136</v>
      </c>
      <c r="C114" s="26" t="s">
        <v>197</v>
      </c>
      <c r="D114" s="435" t="s">
        <v>195</v>
      </c>
      <c r="E114" s="331">
        <v>6537</v>
      </c>
      <c r="F114" s="426">
        <v>4.4000000000000004</v>
      </c>
      <c r="G114" s="426">
        <f t="shared" si="13"/>
        <v>28762.800000000003</v>
      </c>
      <c r="H114" s="426">
        <f t="shared" si="14"/>
        <v>5464.9320000000007</v>
      </c>
      <c r="I114" s="426">
        <f t="shared" si="15"/>
        <v>34227.732000000004</v>
      </c>
    </row>
    <row r="115" spans="1:12">
      <c r="B115" s="434">
        <v>43137</v>
      </c>
      <c r="C115" s="26" t="s">
        <v>197</v>
      </c>
      <c r="D115" s="435" t="s">
        <v>195</v>
      </c>
      <c r="E115" s="331">
        <v>2414</v>
      </c>
      <c r="F115" s="426">
        <v>4.4000000000000004</v>
      </c>
      <c r="G115" s="426">
        <f t="shared" si="13"/>
        <v>10621.6</v>
      </c>
      <c r="H115" s="426">
        <f t="shared" si="14"/>
        <v>2018.104</v>
      </c>
      <c r="I115" s="426">
        <f t="shared" si="15"/>
        <v>12639.704</v>
      </c>
    </row>
    <row r="116" spans="1:12">
      <c r="B116" s="434">
        <v>43138</v>
      </c>
      <c r="C116" s="26" t="s">
        <v>197</v>
      </c>
      <c r="D116" s="435" t="s">
        <v>195</v>
      </c>
      <c r="E116" s="331">
        <v>2353</v>
      </c>
      <c r="F116" s="426">
        <v>4.4000000000000004</v>
      </c>
      <c r="G116" s="426">
        <f t="shared" si="13"/>
        <v>10353.200000000001</v>
      </c>
      <c r="H116" s="426">
        <f t="shared" si="14"/>
        <v>1967.1080000000002</v>
      </c>
      <c r="I116" s="426">
        <f t="shared" si="15"/>
        <v>12320.308000000001</v>
      </c>
    </row>
    <row r="117" spans="1:12">
      <c r="B117" s="434">
        <v>43139</v>
      </c>
      <c r="C117" s="26" t="s">
        <v>197</v>
      </c>
      <c r="D117" s="435" t="s">
        <v>195</v>
      </c>
      <c r="E117" s="331">
        <v>1182</v>
      </c>
      <c r="F117" s="426">
        <v>4.4000000000000004</v>
      </c>
      <c r="G117" s="426">
        <f t="shared" si="13"/>
        <v>5200.8</v>
      </c>
      <c r="H117" s="426">
        <f t="shared" si="14"/>
        <v>988.15200000000004</v>
      </c>
      <c r="I117" s="426">
        <f t="shared" si="15"/>
        <v>6188.9520000000002</v>
      </c>
    </row>
    <row r="118" spans="1:12">
      <c r="B118" s="434">
        <v>43140</v>
      </c>
      <c r="C118" s="26" t="s">
        <v>197</v>
      </c>
      <c r="D118" s="435" t="s">
        <v>195</v>
      </c>
      <c r="E118" s="331">
        <v>1858</v>
      </c>
      <c r="F118" s="426">
        <v>4.4000000000000004</v>
      </c>
      <c r="G118" s="426">
        <f t="shared" si="13"/>
        <v>8175.2000000000007</v>
      </c>
      <c r="H118" s="426">
        <f t="shared" si="14"/>
        <v>1553.2880000000002</v>
      </c>
      <c r="I118" s="426">
        <f t="shared" si="15"/>
        <v>9728.4880000000012</v>
      </c>
    </row>
    <row r="119" spans="1:12">
      <c r="B119" s="434">
        <v>43143</v>
      </c>
      <c r="C119" s="26" t="s">
        <v>197</v>
      </c>
      <c r="D119" s="435" t="s">
        <v>195</v>
      </c>
      <c r="E119" s="331">
        <v>4104</v>
      </c>
      <c r="F119" s="426">
        <v>4.4000000000000004</v>
      </c>
      <c r="G119" s="426">
        <f t="shared" si="13"/>
        <v>18057.600000000002</v>
      </c>
      <c r="H119" s="426">
        <f t="shared" si="14"/>
        <v>3430.9440000000004</v>
      </c>
      <c r="I119" s="426">
        <f t="shared" si="15"/>
        <v>21488.544000000002</v>
      </c>
    </row>
    <row r="120" spans="1:12">
      <c r="B120" s="434">
        <v>43144</v>
      </c>
      <c r="C120" s="26" t="s">
        <v>197</v>
      </c>
      <c r="D120" s="435" t="s">
        <v>195</v>
      </c>
      <c r="E120" s="331">
        <v>1905</v>
      </c>
      <c r="F120" s="426">
        <v>4.4000000000000004</v>
      </c>
      <c r="G120" s="426">
        <f t="shared" si="13"/>
        <v>8382</v>
      </c>
      <c r="H120" s="426">
        <f t="shared" si="14"/>
        <v>1592.58</v>
      </c>
      <c r="I120" s="426">
        <f t="shared" si="15"/>
        <v>9974.58</v>
      </c>
    </row>
    <row r="121" spans="1:12">
      <c r="A121" s="619"/>
      <c r="B121" s="434">
        <v>43145</v>
      </c>
      <c r="C121" s="26" t="s">
        <v>197</v>
      </c>
      <c r="D121" s="435" t="s">
        <v>195</v>
      </c>
      <c r="E121" s="331">
        <v>4004</v>
      </c>
      <c r="F121" s="426">
        <v>4.4000000000000004</v>
      </c>
      <c r="G121" s="426">
        <f t="shared" si="13"/>
        <v>17617.600000000002</v>
      </c>
      <c r="H121" s="426">
        <f t="shared" si="14"/>
        <v>3347.3440000000005</v>
      </c>
      <c r="I121" s="426">
        <f t="shared" si="15"/>
        <v>20964.944000000003</v>
      </c>
    </row>
    <row r="122" spans="1:12">
      <c r="A122" s="619"/>
      <c r="B122" s="434">
        <v>43145</v>
      </c>
      <c r="C122" s="26" t="s">
        <v>197</v>
      </c>
      <c r="D122" s="435" t="s">
        <v>195</v>
      </c>
      <c r="E122" s="331">
        <v>1916</v>
      </c>
      <c r="F122" s="426">
        <v>4.4000000000000004</v>
      </c>
      <c r="G122" s="426">
        <f t="shared" si="13"/>
        <v>8430.4000000000015</v>
      </c>
      <c r="H122" s="426">
        <f t="shared" si="14"/>
        <v>1601.7760000000003</v>
      </c>
      <c r="I122" s="426">
        <f t="shared" si="15"/>
        <v>10032.176000000001</v>
      </c>
    </row>
    <row r="123" spans="1:12">
      <c r="A123" s="619"/>
      <c r="B123" s="434">
        <v>43146</v>
      </c>
      <c r="C123" s="26" t="s">
        <v>197</v>
      </c>
      <c r="D123" s="435" t="s">
        <v>195</v>
      </c>
      <c r="E123" s="331">
        <v>2089</v>
      </c>
      <c r="F123" s="426">
        <v>4.4000000000000004</v>
      </c>
      <c r="G123" s="426">
        <f t="shared" si="13"/>
        <v>9191.6</v>
      </c>
      <c r="H123" s="426">
        <f t="shared" si="14"/>
        <v>1746.404</v>
      </c>
      <c r="I123" s="426">
        <f t="shared" si="15"/>
        <v>10938.004000000001</v>
      </c>
    </row>
    <row r="124" spans="1:12">
      <c r="A124" s="619"/>
      <c r="B124" s="434">
        <v>43147</v>
      </c>
      <c r="C124" s="26" t="s">
        <v>197</v>
      </c>
      <c r="D124" s="435" t="s">
        <v>195</v>
      </c>
      <c r="E124" s="331">
        <v>1832</v>
      </c>
      <c r="F124" s="426">
        <v>4.4000000000000004</v>
      </c>
      <c r="G124" s="426">
        <f t="shared" si="13"/>
        <v>8060.8000000000011</v>
      </c>
      <c r="H124" s="426">
        <f t="shared" si="14"/>
        <v>1531.5520000000001</v>
      </c>
      <c r="I124" s="426">
        <f t="shared" si="15"/>
        <v>9592.3520000000008</v>
      </c>
    </row>
    <row r="125" spans="1:12">
      <c r="A125" s="619"/>
      <c r="B125" s="434">
        <v>43150</v>
      </c>
      <c r="C125" s="26" t="s">
        <v>197</v>
      </c>
      <c r="D125" s="435" t="s">
        <v>195</v>
      </c>
      <c r="E125" s="331">
        <v>3589</v>
      </c>
      <c r="F125" s="426">
        <v>4.4000000000000004</v>
      </c>
      <c r="G125" s="426">
        <f t="shared" si="13"/>
        <v>15791.600000000002</v>
      </c>
      <c r="H125" s="426">
        <f t="shared" si="14"/>
        <v>3000.4040000000005</v>
      </c>
      <c r="I125" s="426">
        <f t="shared" si="15"/>
        <v>18792.004000000001</v>
      </c>
    </row>
    <row r="126" spans="1:12">
      <c r="A126" s="619"/>
      <c r="B126" s="434">
        <v>43152</v>
      </c>
      <c r="C126" s="26" t="s">
        <v>197</v>
      </c>
      <c r="D126" s="435" t="s">
        <v>195</v>
      </c>
      <c r="E126" s="331">
        <v>3318</v>
      </c>
      <c r="F126" s="426">
        <v>4.4000000000000004</v>
      </c>
      <c r="G126" s="426">
        <f t="shared" si="13"/>
        <v>14599.2</v>
      </c>
      <c r="H126" s="426">
        <f t="shared" si="14"/>
        <v>2773.848</v>
      </c>
      <c r="I126" s="426">
        <f t="shared" si="15"/>
        <v>17373.048000000003</v>
      </c>
    </row>
    <row r="127" spans="1:12">
      <c r="A127" s="619"/>
      <c r="B127" s="434">
        <v>43153</v>
      </c>
      <c r="C127" s="26" t="s">
        <v>197</v>
      </c>
      <c r="D127" s="662" t="s">
        <v>195</v>
      </c>
      <c r="E127" s="331">
        <v>2213</v>
      </c>
      <c r="F127" s="426">
        <v>4.4000000000000004</v>
      </c>
      <c r="G127" s="426">
        <f t="shared" si="13"/>
        <v>9737.2000000000007</v>
      </c>
      <c r="H127" s="426">
        <f t="shared" si="14"/>
        <v>1850.0680000000002</v>
      </c>
      <c r="I127" s="426">
        <f t="shared" si="15"/>
        <v>11587.268</v>
      </c>
      <c r="K127" s="662"/>
      <c r="L127" s="662"/>
    </row>
    <row r="128" spans="1:12">
      <c r="A128" s="619"/>
      <c r="B128" s="434">
        <v>43154</v>
      </c>
      <c r="C128" s="26" t="s">
        <v>197</v>
      </c>
      <c r="D128" s="662" t="s">
        <v>195</v>
      </c>
      <c r="E128" s="331">
        <v>2145</v>
      </c>
      <c r="F128" s="426">
        <v>4.4000000000000004</v>
      </c>
      <c r="G128" s="426">
        <f t="shared" si="13"/>
        <v>9438</v>
      </c>
      <c r="H128" s="426">
        <f t="shared" si="14"/>
        <v>1793.22</v>
      </c>
      <c r="I128" s="426">
        <f t="shared" si="15"/>
        <v>11231.22</v>
      </c>
      <c r="K128" s="662"/>
      <c r="L128" s="662"/>
    </row>
    <row r="129" spans="1:12">
      <c r="A129" s="619"/>
      <c r="B129" s="434">
        <v>43157</v>
      </c>
      <c r="C129" s="26" t="s">
        <v>197</v>
      </c>
      <c r="D129" s="662" t="s">
        <v>195</v>
      </c>
      <c r="E129" s="331">
        <v>2752</v>
      </c>
      <c r="F129" s="426">
        <v>4.4000000000000004</v>
      </c>
      <c r="G129" s="426">
        <f t="shared" si="13"/>
        <v>12108.800000000001</v>
      </c>
      <c r="H129" s="426">
        <f t="shared" si="14"/>
        <v>2300.672</v>
      </c>
      <c r="I129" s="426">
        <f t="shared" si="15"/>
        <v>14409.472000000002</v>
      </c>
      <c r="K129" s="662"/>
      <c r="L129" s="662"/>
    </row>
    <row r="130" spans="1:12">
      <c r="A130" s="619"/>
      <c r="B130" s="434">
        <v>43158</v>
      </c>
      <c r="C130" s="26" t="s">
        <v>197</v>
      </c>
      <c r="D130" s="662" t="s">
        <v>195</v>
      </c>
      <c r="E130" s="331">
        <v>2436</v>
      </c>
      <c r="F130" s="426">
        <v>4.4000000000000004</v>
      </c>
      <c r="G130" s="426">
        <f t="shared" si="13"/>
        <v>10718.400000000001</v>
      </c>
      <c r="H130" s="426">
        <f t="shared" si="14"/>
        <v>2036.4960000000003</v>
      </c>
      <c r="I130" s="426">
        <f t="shared" si="15"/>
        <v>12754.896000000002</v>
      </c>
      <c r="K130" s="662"/>
      <c r="L130" s="662"/>
    </row>
    <row r="131" spans="1:12">
      <c r="A131" s="619"/>
      <c r="B131" s="434">
        <v>43159</v>
      </c>
      <c r="C131" s="26" t="s">
        <v>197</v>
      </c>
      <c r="D131" s="662" t="s">
        <v>195</v>
      </c>
      <c r="E131" s="331">
        <v>1885</v>
      </c>
      <c r="F131" s="426">
        <v>4.4000000000000004</v>
      </c>
      <c r="G131" s="426">
        <f t="shared" si="13"/>
        <v>8294</v>
      </c>
      <c r="H131" s="426">
        <f t="shared" si="14"/>
        <v>1575.8600000000001</v>
      </c>
      <c r="I131" s="426">
        <f t="shared" si="15"/>
        <v>9869.86</v>
      </c>
      <c r="K131" s="662"/>
      <c r="L131" s="662"/>
    </row>
    <row r="133" spans="1:12">
      <c r="B133" s="650">
        <v>43105</v>
      </c>
      <c r="C133" s="433" t="s">
        <v>276</v>
      </c>
      <c r="D133" s="651" t="s">
        <v>195</v>
      </c>
      <c r="E133" s="652">
        <v>881</v>
      </c>
      <c r="F133" s="653">
        <v>33</v>
      </c>
      <c r="G133" s="653">
        <f>+E133*F133</f>
        <v>29073</v>
      </c>
      <c r="H133" s="653">
        <f>+G133*0.19</f>
        <v>5523.87</v>
      </c>
      <c r="I133" s="653">
        <f>+H133+G133</f>
        <v>34596.870000000003</v>
      </c>
      <c r="J133" s="428"/>
    </row>
    <row r="134" spans="1:12">
      <c r="B134" s="650">
        <v>43112</v>
      </c>
      <c r="C134" s="433" t="s">
        <v>276</v>
      </c>
      <c r="D134" s="651" t="s">
        <v>195</v>
      </c>
      <c r="E134" s="652">
        <v>286</v>
      </c>
      <c r="F134" s="653">
        <v>33</v>
      </c>
      <c r="G134" s="653">
        <f>+E134*F134</f>
        <v>9438</v>
      </c>
      <c r="H134" s="653">
        <f>+G134*0.19</f>
        <v>1793.22</v>
      </c>
      <c r="I134" s="653">
        <f>+H134+G134</f>
        <v>11231.22</v>
      </c>
      <c r="J134" s="428"/>
    </row>
    <row r="135" spans="1:12">
      <c r="A135" s="619"/>
      <c r="B135" s="650">
        <v>43122</v>
      </c>
      <c r="C135" s="433" t="s">
        <v>276</v>
      </c>
      <c r="D135" s="651" t="s">
        <v>195</v>
      </c>
      <c r="E135" s="652">
        <v>1560</v>
      </c>
      <c r="F135" s="653">
        <v>33</v>
      </c>
      <c r="G135" s="653">
        <f>+E135*F135</f>
        <v>51480</v>
      </c>
      <c r="H135" s="653">
        <f>+G135*0.19</f>
        <v>9781.2000000000007</v>
      </c>
      <c r="I135" s="653">
        <f>+H135+G135</f>
        <v>61261.2</v>
      </c>
      <c r="J135" s="428"/>
    </row>
    <row r="136" spans="1:12">
      <c r="A136" s="619"/>
      <c r="B136" s="427">
        <v>43136</v>
      </c>
      <c r="C136" s="428" t="s">
        <v>276</v>
      </c>
      <c r="D136" s="429" t="s">
        <v>195</v>
      </c>
      <c r="E136" s="430">
        <v>2024</v>
      </c>
      <c r="F136" s="431">
        <v>33</v>
      </c>
      <c r="G136" s="431">
        <f>+E136*F136</f>
        <v>66792</v>
      </c>
      <c r="H136" s="431">
        <f>+G136*0.19</f>
        <v>12690.48</v>
      </c>
      <c r="I136" s="431">
        <f>+H136+G136</f>
        <v>79482.48</v>
      </c>
      <c r="J136" s="428"/>
    </row>
    <row r="137" spans="1:12">
      <c r="A137" s="619"/>
      <c r="B137" s="427">
        <v>43144</v>
      </c>
      <c r="C137" s="428" t="s">
        <v>276</v>
      </c>
      <c r="D137" s="429" t="s">
        <v>195</v>
      </c>
      <c r="E137" s="430">
        <v>1576</v>
      </c>
      <c r="F137" s="431">
        <v>33</v>
      </c>
      <c r="G137" s="431">
        <f>+E137*F137</f>
        <v>52008</v>
      </c>
      <c r="H137" s="431">
        <f>+G137*0.19</f>
        <v>9881.52</v>
      </c>
      <c r="I137" s="431">
        <f>+H137+G137</f>
        <v>61889.520000000004</v>
      </c>
      <c r="J137" s="428"/>
    </row>
    <row r="139" spans="1:12">
      <c r="B139" s="650">
        <v>43118</v>
      </c>
      <c r="C139" s="433" t="s">
        <v>208</v>
      </c>
      <c r="D139" s="651" t="s">
        <v>195</v>
      </c>
      <c r="E139" s="652">
        <f>41460-60</f>
        <v>41400</v>
      </c>
      <c r="F139" s="653">
        <v>1.55</v>
      </c>
      <c r="G139" s="653">
        <f>+E139*F139</f>
        <v>64170</v>
      </c>
      <c r="H139" s="653">
        <f>+G139*0.19</f>
        <v>12192.3</v>
      </c>
      <c r="I139" s="653">
        <f>+H139+G139</f>
        <v>76362.3</v>
      </c>
      <c r="J139" s="428"/>
      <c r="K139" s="995" t="s">
        <v>308</v>
      </c>
    </row>
    <row r="140" spans="1:12">
      <c r="B140" s="654">
        <v>43129</v>
      </c>
      <c r="C140" s="433" t="s">
        <v>208</v>
      </c>
      <c r="D140" s="651" t="s">
        <v>195</v>
      </c>
      <c r="E140" s="652">
        <v>41560</v>
      </c>
      <c r="F140" s="653">
        <v>1.55</v>
      </c>
      <c r="G140" s="653">
        <f>+E140*F140</f>
        <v>64418</v>
      </c>
      <c r="H140" s="653">
        <f>+G140*0.19</f>
        <v>12239.42</v>
      </c>
      <c r="I140" s="653">
        <f>+H140+G140</f>
        <v>76657.42</v>
      </c>
      <c r="K140" s="995"/>
    </row>
    <row r="141" spans="1:12">
      <c r="B141" s="657">
        <v>43137</v>
      </c>
      <c r="C141" s="658" t="s">
        <v>208</v>
      </c>
      <c r="D141" s="659" t="s">
        <v>195</v>
      </c>
      <c r="E141" s="330">
        <v>34760</v>
      </c>
      <c r="F141" s="660">
        <v>1.55</v>
      </c>
      <c r="G141" s="661">
        <f>+E141*F141</f>
        <v>53878</v>
      </c>
      <c r="H141" s="661">
        <f>+G141*0.19</f>
        <v>10236.82</v>
      </c>
      <c r="I141" s="661">
        <f>+H141+G141</f>
        <v>64114.82</v>
      </c>
      <c r="K141" s="995"/>
    </row>
    <row r="142" spans="1:12">
      <c r="B142" s="657">
        <v>43140</v>
      </c>
      <c r="C142" s="658" t="s">
        <v>208</v>
      </c>
      <c r="D142" s="659" t="s">
        <v>195</v>
      </c>
      <c r="E142" s="330">
        <f>40180+1420</f>
        <v>41600</v>
      </c>
      <c r="F142" s="660">
        <v>1.55</v>
      </c>
      <c r="G142" s="661">
        <f>+E142*F142</f>
        <v>64480</v>
      </c>
      <c r="H142" s="661">
        <f>+G142*0.19</f>
        <v>12251.2</v>
      </c>
      <c r="I142" s="661">
        <f>+H142+G142</f>
        <v>76731.199999999997</v>
      </c>
      <c r="K142" s="995"/>
    </row>
    <row r="144" spans="1:12">
      <c r="B144" s="654">
        <v>43120</v>
      </c>
      <c r="C144" s="437" t="s">
        <v>302</v>
      </c>
      <c r="D144" s="655" t="s">
        <v>195</v>
      </c>
      <c r="E144" s="466">
        <v>29500</v>
      </c>
      <c r="F144" s="656">
        <v>1.45</v>
      </c>
      <c r="G144" s="653">
        <f t="shared" ref="G144:G150" si="16">+E144*F144</f>
        <v>42775</v>
      </c>
      <c r="H144" s="653">
        <f>+G144*0.19</f>
        <v>8127.25</v>
      </c>
      <c r="I144" s="653">
        <f t="shared" ref="I144:I150" si="17">+H144+G144</f>
        <v>50902.25</v>
      </c>
      <c r="K144" s="1005" t="s">
        <v>308</v>
      </c>
    </row>
    <row r="145" spans="1:17">
      <c r="B145" s="654">
        <v>43126</v>
      </c>
      <c r="C145" s="437" t="s">
        <v>302</v>
      </c>
      <c r="D145" s="655" t="s">
        <v>195</v>
      </c>
      <c r="E145" s="466">
        <v>41000</v>
      </c>
      <c r="F145" s="656">
        <v>1.45</v>
      </c>
      <c r="G145" s="653">
        <f t="shared" si="16"/>
        <v>59450</v>
      </c>
      <c r="H145" s="653">
        <f t="shared" ref="H145:H150" si="18">+G145*0.19</f>
        <v>11295.5</v>
      </c>
      <c r="I145" s="653">
        <f t="shared" si="17"/>
        <v>70745.5</v>
      </c>
      <c r="K145" s="1005"/>
    </row>
    <row r="146" spans="1:17">
      <c r="B146" s="654">
        <v>43126</v>
      </c>
      <c r="C146" s="437" t="s">
        <v>302</v>
      </c>
      <c r="D146" s="655" t="s">
        <v>195</v>
      </c>
      <c r="E146" s="466">
        <v>34080</v>
      </c>
      <c r="F146" s="656">
        <v>1.45</v>
      </c>
      <c r="G146" s="653">
        <f t="shared" si="16"/>
        <v>49416</v>
      </c>
      <c r="H146" s="653">
        <f t="shared" si="18"/>
        <v>9389.0400000000009</v>
      </c>
      <c r="I146" s="653">
        <f t="shared" si="17"/>
        <v>58805.04</v>
      </c>
      <c r="K146" s="1005"/>
    </row>
    <row r="147" spans="1:17">
      <c r="B147" s="654">
        <v>43127</v>
      </c>
      <c r="C147" s="437" t="s">
        <v>302</v>
      </c>
      <c r="D147" s="655" t="s">
        <v>195</v>
      </c>
      <c r="E147" s="466">
        <v>25680</v>
      </c>
      <c r="F147" s="656">
        <v>1.45</v>
      </c>
      <c r="G147" s="653">
        <f t="shared" si="16"/>
        <v>37236</v>
      </c>
      <c r="H147" s="653">
        <f t="shared" si="18"/>
        <v>7074.84</v>
      </c>
      <c r="I147" s="653">
        <f t="shared" si="17"/>
        <v>44310.84</v>
      </c>
      <c r="K147" s="1005"/>
    </row>
    <row r="148" spans="1:17">
      <c r="B148" s="654">
        <v>43127</v>
      </c>
      <c r="C148" s="437" t="s">
        <v>302</v>
      </c>
      <c r="D148" s="655" t="s">
        <v>195</v>
      </c>
      <c r="E148" s="466">
        <v>21100</v>
      </c>
      <c r="F148" s="656">
        <v>1.45</v>
      </c>
      <c r="G148" s="653">
        <f t="shared" si="16"/>
        <v>30595</v>
      </c>
      <c r="H148" s="653">
        <f t="shared" si="18"/>
        <v>5813.05</v>
      </c>
      <c r="I148" s="653">
        <f t="shared" si="17"/>
        <v>36408.050000000003</v>
      </c>
      <c r="K148" s="1005"/>
    </row>
    <row r="149" spans="1:17">
      <c r="B149" s="654">
        <v>43130</v>
      </c>
      <c r="C149" s="437" t="s">
        <v>302</v>
      </c>
      <c r="D149" s="651" t="s">
        <v>195</v>
      </c>
      <c r="E149" s="652">
        <v>37020</v>
      </c>
      <c r="F149" s="653">
        <v>1.45</v>
      </c>
      <c r="G149" s="653">
        <f t="shared" si="16"/>
        <v>53679</v>
      </c>
      <c r="H149" s="653">
        <f t="shared" si="18"/>
        <v>10199.01</v>
      </c>
      <c r="I149" s="653">
        <f t="shared" si="17"/>
        <v>63878.01</v>
      </c>
      <c r="K149" s="1005"/>
    </row>
    <row r="150" spans="1:17" ht="13.5" thickBot="1">
      <c r="B150" s="654">
        <v>43143</v>
      </c>
      <c r="C150" s="437" t="s">
        <v>302</v>
      </c>
      <c r="D150" s="651" t="s">
        <v>195</v>
      </c>
      <c r="E150" s="652">
        <v>27660</v>
      </c>
      <c r="F150" s="653">
        <v>1.45</v>
      </c>
      <c r="G150" s="653">
        <f t="shared" si="16"/>
        <v>40107</v>
      </c>
      <c r="H150" s="653">
        <f t="shared" si="18"/>
        <v>7620.33</v>
      </c>
      <c r="I150" s="653">
        <f t="shared" si="17"/>
        <v>47727.33</v>
      </c>
      <c r="K150" s="1005"/>
    </row>
    <row r="151" spans="1:17" s="437" customFormat="1" ht="13.5" thickBot="1">
      <c r="B151" s="1002" t="s">
        <v>315</v>
      </c>
      <c r="C151" s="1003"/>
      <c r="D151" s="1003"/>
      <c r="E151" s="1003"/>
      <c r="F151" s="1003"/>
      <c r="G151" s="1003"/>
      <c r="H151" s="1003"/>
      <c r="I151" s="526">
        <f>SUM(I100:I150)</f>
        <v>1419734.0220000001</v>
      </c>
      <c r="J151" s="1004" t="s">
        <v>264</v>
      </c>
      <c r="K151" s="1004"/>
      <c r="L151" s="1004"/>
      <c r="M151" s="527">
        <v>1450000</v>
      </c>
      <c r="N151" s="525"/>
      <c r="P151" s="664"/>
      <c r="Q151" s="478"/>
    </row>
    <row r="152" spans="1:17">
      <c r="P152" s="664"/>
    </row>
    <row r="153" spans="1:17">
      <c r="A153" s="619"/>
      <c r="B153" s="427">
        <v>43160</v>
      </c>
      <c r="C153" s="428" t="s">
        <v>197</v>
      </c>
      <c r="D153" s="666" t="s">
        <v>195</v>
      </c>
      <c r="E153" s="430">
        <v>6190</v>
      </c>
      <c r="F153" s="431">
        <v>4.5</v>
      </c>
      <c r="G153" s="431">
        <f t="shared" ref="G153:G159" si="19">+E153*F153</f>
        <v>27855</v>
      </c>
      <c r="H153" s="431">
        <f t="shared" ref="H153:H159" si="20">+G153*0.19</f>
        <v>5292.45</v>
      </c>
      <c r="I153" s="431">
        <f t="shared" ref="I153:I159" si="21">+H153+G153</f>
        <v>33147.449999999997</v>
      </c>
      <c r="J153" s="428"/>
      <c r="K153" s="1005" t="s">
        <v>317</v>
      </c>
      <c r="L153" s="666"/>
    </row>
    <row r="154" spans="1:17">
      <c r="A154" s="619"/>
      <c r="B154" s="427">
        <v>43161</v>
      </c>
      <c r="C154" s="428" t="s">
        <v>197</v>
      </c>
      <c r="D154" s="666" t="s">
        <v>195</v>
      </c>
      <c r="E154" s="430">
        <v>2103</v>
      </c>
      <c r="F154" s="431">
        <v>4.5</v>
      </c>
      <c r="G154" s="431">
        <f t="shared" si="19"/>
        <v>9463.5</v>
      </c>
      <c r="H154" s="431">
        <f t="shared" si="20"/>
        <v>1798.0650000000001</v>
      </c>
      <c r="I154" s="431">
        <f t="shared" si="21"/>
        <v>11261.565000000001</v>
      </c>
      <c r="J154" s="428"/>
      <c r="K154" s="1005"/>
      <c r="L154" s="666"/>
    </row>
    <row r="155" spans="1:17">
      <c r="A155" s="619"/>
      <c r="B155" s="427">
        <v>43164</v>
      </c>
      <c r="C155" s="428" t="s">
        <v>197</v>
      </c>
      <c r="D155" s="666" t="s">
        <v>195</v>
      </c>
      <c r="E155" s="430">
        <v>1319</v>
      </c>
      <c r="F155" s="431">
        <v>4.5</v>
      </c>
      <c r="G155" s="431">
        <f t="shared" si="19"/>
        <v>5935.5</v>
      </c>
      <c r="H155" s="431">
        <f t="shared" si="20"/>
        <v>1127.7450000000001</v>
      </c>
      <c r="I155" s="431">
        <f t="shared" si="21"/>
        <v>7063.2449999999999</v>
      </c>
      <c r="J155" s="428"/>
      <c r="K155" s="1005"/>
      <c r="L155" s="666"/>
    </row>
    <row r="156" spans="1:17">
      <c r="A156" s="619"/>
      <c r="B156" s="427">
        <v>43165</v>
      </c>
      <c r="C156" s="428" t="s">
        <v>197</v>
      </c>
      <c r="D156" s="666" t="s">
        <v>195</v>
      </c>
      <c r="E156" s="430">
        <v>2161</v>
      </c>
      <c r="F156" s="431">
        <v>4.5</v>
      </c>
      <c r="G156" s="431">
        <f t="shared" si="19"/>
        <v>9724.5</v>
      </c>
      <c r="H156" s="431">
        <f t="shared" si="20"/>
        <v>1847.655</v>
      </c>
      <c r="I156" s="431">
        <f t="shared" si="21"/>
        <v>11572.155000000001</v>
      </c>
      <c r="J156" s="428"/>
      <c r="K156" s="1005"/>
      <c r="L156" s="666"/>
    </row>
    <row r="157" spans="1:17">
      <c r="A157" s="619"/>
      <c r="B157" s="427">
        <v>43166</v>
      </c>
      <c r="C157" s="428" t="s">
        <v>197</v>
      </c>
      <c r="D157" s="666" t="s">
        <v>195</v>
      </c>
      <c r="E157" s="430">
        <v>2265</v>
      </c>
      <c r="F157" s="431">
        <v>4.5</v>
      </c>
      <c r="G157" s="431">
        <f t="shared" si="19"/>
        <v>10192.5</v>
      </c>
      <c r="H157" s="431">
        <f t="shared" si="20"/>
        <v>1936.575</v>
      </c>
      <c r="I157" s="431">
        <f t="shared" si="21"/>
        <v>12129.075000000001</v>
      </c>
      <c r="J157" s="428"/>
      <c r="K157" s="1005"/>
      <c r="L157" s="666"/>
    </row>
    <row r="158" spans="1:17">
      <c r="A158" s="619"/>
      <c r="B158" s="427">
        <v>43167</v>
      </c>
      <c r="C158" s="428" t="s">
        <v>197</v>
      </c>
      <c r="D158" s="666" t="s">
        <v>195</v>
      </c>
      <c r="E158" s="430">
        <v>1856</v>
      </c>
      <c r="F158" s="431">
        <v>4.5</v>
      </c>
      <c r="G158" s="431">
        <f t="shared" si="19"/>
        <v>8352</v>
      </c>
      <c r="H158" s="431">
        <f t="shared" si="20"/>
        <v>1586.88</v>
      </c>
      <c r="I158" s="431">
        <f t="shared" si="21"/>
        <v>9938.880000000001</v>
      </c>
      <c r="J158" s="428"/>
      <c r="K158" s="1005"/>
      <c r="L158" s="666"/>
    </row>
    <row r="159" spans="1:17">
      <c r="A159" s="619"/>
      <c r="B159" s="427">
        <v>43168</v>
      </c>
      <c r="C159" s="428" t="s">
        <v>197</v>
      </c>
      <c r="D159" s="666" t="s">
        <v>195</v>
      </c>
      <c r="E159" s="430">
        <v>1909</v>
      </c>
      <c r="F159" s="431">
        <v>4.5</v>
      </c>
      <c r="G159" s="431">
        <f t="shared" si="19"/>
        <v>8590.5</v>
      </c>
      <c r="H159" s="431">
        <f t="shared" si="20"/>
        <v>1632.1949999999999</v>
      </c>
      <c r="I159" s="431">
        <f t="shared" si="21"/>
        <v>10222.695</v>
      </c>
      <c r="J159" s="428"/>
      <c r="K159" s="1005"/>
      <c r="L159" s="666"/>
    </row>
    <row r="160" spans="1:17">
      <c r="A160" s="619"/>
      <c r="B160" s="427">
        <v>43171</v>
      </c>
      <c r="C160" s="428" t="s">
        <v>197</v>
      </c>
      <c r="D160" s="666" t="s">
        <v>195</v>
      </c>
      <c r="E160" s="430">
        <f>4755+2014+1773</f>
        <v>8542</v>
      </c>
      <c r="F160" s="431">
        <v>4.5</v>
      </c>
      <c r="G160" s="431">
        <f t="shared" ref="G160:G165" si="22">+E160*F160</f>
        <v>38439</v>
      </c>
      <c r="H160" s="431">
        <f t="shared" ref="H160:H165" si="23">+G160*0.19</f>
        <v>7303.41</v>
      </c>
      <c r="I160" s="431">
        <f t="shared" ref="I160:I165" si="24">+H160+G160</f>
        <v>45742.41</v>
      </c>
      <c r="J160" s="428"/>
      <c r="K160" s="1005"/>
      <c r="L160" s="666"/>
    </row>
    <row r="161" spans="1:17">
      <c r="A161" s="619"/>
      <c r="B161" s="427">
        <v>43172</v>
      </c>
      <c r="C161" s="428" t="s">
        <v>197</v>
      </c>
      <c r="D161" s="666" t="s">
        <v>195</v>
      </c>
      <c r="E161" s="430">
        <v>1592</v>
      </c>
      <c r="F161" s="431">
        <v>4.5</v>
      </c>
      <c r="G161" s="431">
        <f t="shared" si="22"/>
        <v>7164</v>
      </c>
      <c r="H161" s="431">
        <f t="shared" si="23"/>
        <v>1361.16</v>
      </c>
      <c r="I161" s="431">
        <f t="shared" si="24"/>
        <v>8525.16</v>
      </c>
      <c r="J161" s="428"/>
      <c r="K161" s="1005"/>
      <c r="L161" s="666"/>
    </row>
    <row r="162" spans="1:17">
      <c r="A162" s="619"/>
      <c r="B162" s="427">
        <v>43173</v>
      </c>
      <c r="C162" s="428" t="s">
        <v>197</v>
      </c>
      <c r="D162" s="666" t="s">
        <v>195</v>
      </c>
      <c r="E162" s="430">
        <v>2119</v>
      </c>
      <c r="F162" s="431">
        <v>4.5</v>
      </c>
      <c r="G162" s="431">
        <f t="shared" si="22"/>
        <v>9535.5</v>
      </c>
      <c r="H162" s="431">
        <f t="shared" si="23"/>
        <v>1811.7450000000001</v>
      </c>
      <c r="I162" s="431">
        <f t="shared" si="24"/>
        <v>11347.245000000001</v>
      </c>
      <c r="J162" s="428"/>
      <c r="K162" s="1005"/>
      <c r="L162" s="666"/>
    </row>
    <row r="163" spans="1:17">
      <c r="A163" s="619"/>
      <c r="B163" s="427">
        <v>43174</v>
      </c>
      <c r="C163" s="428" t="s">
        <v>197</v>
      </c>
      <c r="D163" s="666" t="s">
        <v>195</v>
      </c>
      <c r="E163" s="430">
        <v>1748</v>
      </c>
      <c r="F163" s="431">
        <v>4.5</v>
      </c>
      <c r="G163" s="431">
        <f t="shared" si="22"/>
        <v>7866</v>
      </c>
      <c r="H163" s="431">
        <f t="shared" si="23"/>
        <v>1494.54</v>
      </c>
      <c r="I163" s="431">
        <f t="shared" si="24"/>
        <v>9360.5400000000009</v>
      </c>
      <c r="J163" s="428"/>
      <c r="K163" s="1005"/>
      <c r="L163" s="666"/>
    </row>
    <row r="164" spans="1:17">
      <c r="A164" s="619"/>
      <c r="B164" s="427">
        <v>43175</v>
      </c>
      <c r="C164" s="428" t="s">
        <v>197</v>
      </c>
      <c r="D164" s="666" t="s">
        <v>195</v>
      </c>
      <c r="E164" s="430">
        <v>1792</v>
      </c>
      <c r="F164" s="431">
        <v>4.5</v>
      </c>
      <c r="G164" s="431">
        <f t="shared" si="22"/>
        <v>8064</v>
      </c>
      <c r="H164" s="431">
        <f t="shared" si="23"/>
        <v>1532.16</v>
      </c>
      <c r="I164" s="431">
        <f t="shared" si="24"/>
        <v>9596.16</v>
      </c>
      <c r="J164" s="428"/>
      <c r="K164" s="1005"/>
      <c r="L164" s="666"/>
    </row>
    <row r="165" spans="1:17">
      <c r="A165" s="619"/>
      <c r="B165" s="427">
        <v>43182</v>
      </c>
      <c r="C165" s="428" t="s">
        <v>197</v>
      </c>
      <c r="D165" s="666" t="s">
        <v>195</v>
      </c>
      <c r="E165" s="430">
        <v>1283</v>
      </c>
      <c r="F165" s="431">
        <v>4.5</v>
      </c>
      <c r="G165" s="431">
        <f t="shared" si="22"/>
        <v>5773.5</v>
      </c>
      <c r="H165" s="431">
        <f t="shared" si="23"/>
        <v>1096.9649999999999</v>
      </c>
      <c r="I165" s="431">
        <f t="shared" si="24"/>
        <v>6870.4650000000001</v>
      </c>
      <c r="J165" s="428"/>
      <c r="K165" s="1005"/>
      <c r="L165" s="666"/>
    </row>
    <row r="166" spans="1:17">
      <c r="B166" s="427"/>
      <c r="C166" s="428"/>
      <c r="D166" s="666"/>
      <c r="E166" s="430"/>
      <c r="F166" s="431"/>
      <c r="G166" s="431"/>
      <c r="H166" s="431"/>
      <c r="I166" s="431"/>
      <c r="J166" s="428"/>
      <c r="K166" s="666"/>
      <c r="L166" s="666"/>
    </row>
    <row r="167" spans="1:17">
      <c r="B167" s="427">
        <v>43164</v>
      </c>
      <c r="C167" s="428" t="s">
        <v>208</v>
      </c>
      <c r="D167" s="666" t="s">
        <v>195</v>
      </c>
      <c r="E167" s="430">
        <v>41640</v>
      </c>
      <c r="F167" s="431">
        <v>1.7</v>
      </c>
      <c r="G167" s="431">
        <f>+E167*F167</f>
        <v>70788</v>
      </c>
      <c r="H167" s="431">
        <f>+G167*0.19</f>
        <v>13449.72</v>
      </c>
      <c r="I167" s="431">
        <f>+H167+G167</f>
        <v>84237.72</v>
      </c>
      <c r="J167" s="428"/>
      <c r="K167" s="1005" t="s">
        <v>318</v>
      </c>
      <c r="L167" s="666"/>
      <c r="O167" s="26"/>
      <c r="P167" s="663"/>
      <c r="Q167" s="473"/>
    </row>
    <row r="168" spans="1:17">
      <c r="B168" s="427">
        <v>43174</v>
      </c>
      <c r="C168" s="428" t="s">
        <v>208</v>
      </c>
      <c r="D168" s="666" t="s">
        <v>195</v>
      </c>
      <c r="E168" s="430">
        <v>35860</v>
      </c>
      <c r="F168" s="431">
        <v>1.7</v>
      </c>
      <c r="G168" s="431">
        <f>+E168*F168</f>
        <v>60962</v>
      </c>
      <c r="H168" s="431">
        <f>+G168*0.19</f>
        <v>11582.78</v>
      </c>
      <c r="I168" s="431">
        <f>+H168+G168</f>
        <v>72544.78</v>
      </c>
      <c r="J168" s="428"/>
      <c r="K168" s="1005"/>
      <c r="L168" s="666"/>
      <c r="O168" s="26"/>
      <c r="P168" s="663"/>
      <c r="Q168" s="473"/>
    </row>
    <row r="169" spans="1:17">
      <c r="B169" s="427">
        <v>43178</v>
      </c>
      <c r="C169" s="428" t="s">
        <v>208</v>
      </c>
      <c r="D169" s="666" t="s">
        <v>195</v>
      </c>
      <c r="E169" s="430">
        <v>42140</v>
      </c>
      <c r="F169" s="431">
        <v>1.7</v>
      </c>
      <c r="G169" s="431">
        <f>+E169*F169</f>
        <v>71638</v>
      </c>
      <c r="H169" s="431">
        <f>+G169*0.19</f>
        <v>13611.22</v>
      </c>
      <c r="I169" s="431">
        <f>+H169+G169+0.6</f>
        <v>85249.82</v>
      </c>
      <c r="J169" s="428"/>
      <c r="K169" s="1005"/>
      <c r="L169" s="666"/>
      <c r="O169" s="26"/>
      <c r="P169" s="663"/>
      <c r="Q169" s="473"/>
    </row>
    <row r="170" spans="1:17">
      <c r="B170" s="427"/>
      <c r="C170" s="428"/>
      <c r="D170" s="666"/>
      <c r="E170" s="430"/>
      <c r="F170" s="431"/>
      <c r="G170" s="431"/>
      <c r="H170" s="431"/>
      <c r="I170" s="431"/>
      <c r="J170" s="428"/>
      <c r="K170" s="666"/>
      <c r="L170" s="666"/>
    </row>
    <row r="171" spans="1:17">
      <c r="A171" s="619"/>
      <c r="B171" s="427">
        <v>43160</v>
      </c>
      <c r="C171" s="428" t="s">
        <v>276</v>
      </c>
      <c r="D171" s="666" t="s">
        <v>195</v>
      </c>
      <c r="E171" s="430">
        <v>325</v>
      </c>
      <c r="F171" s="431">
        <v>33</v>
      </c>
      <c r="G171" s="431">
        <f>+E171*F171</f>
        <v>10725</v>
      </c>
      <c r="H171" s="431">
        <f>+G171*0.19</f>
        <v>2037.75</v>
      </c>
      <c r="I171" s="431">
        <f>+H171+G171</f>
        <v>12762.75</v>
      </c>
      <c r="J171" s="428"/>
      <c r="K171" s="1005" t="s">
        <v>317</v>
      </c>
      <c r="L171" s="666"/>
    </row>
    <row r="172" spans="1:17">
      <c r="A172" s="619"/>
      <c r="B172" s="427">
        <v>43171</v>
      </c>
      <c r="C172" s="428" t="s">
        <v>276</v>
      </c>
      <c r="D172" s="666" t="s">
        <v>195</v>
      </c>
      <c r="E172" s="430">
        <v>1798</v>
      </c>
      <c r="F172" s="431">
        <v>33</v>
      </c>
      <c r="G172" s="431">
        <f>+E172*F172</f>
        <v>59334</v>
      </c>
      <c r="H172" s="431">
        <f>+G172*0.19</f>
        <v>11273.460000000001</v>
      </c>
      <c r="I172" s="431">
        <f>+H172+G172</f>
        <v>70607.460000000006</v>
      </c>
      <c r="J172" s="428"/>
      <c r="K172" s="1005"/>
      <c r="L172" s="666"/>
      <c r="M172" s="26"/>
    </row>
    <row r="173" spans="1:17">
      <c r="A173" s="619"/>
      <c r="B173" s="427">
        <v>43182</v>
      </c>
      <c r="C173" s="428" t="s">
        <v>276</v>
      </c>
      <c r="D173" s="666" t="s">
        <v>195</v>
      </c>
      <c r="E173" s="430">
        <v>940</v>
      </c>
      <c r="F173" s="431">
        <v>33</v>
      </c>
      <c r="G173" s="431">
        <f>+E173*F173</f>
        <v>31020</v>
      </c>
      <c r="H173" s="431">
        <f>+G173*0.19</f>
        <v>5893.8</v>
      </c>
      <c r="I173" s="431">
        <f>+H173+G173</f>
        <v>36913.800000000003</v>
      </c>
      <c r="J173" s="428"/>
      <c r="K173" s="1005"/>
      <c r="L173" s="666"/>
    </row>
    <row r="174" spans="1:17" ht="13.5" thickBot="1">
      <c r="B174" s="427"/>
      <c r="C174" s="428"/>
      <c r="D174" s="666"/>
      <c r="E174" s="430"/>
      <c r="F174" s="431"/>
      <c r="G174" s="431"/>
      <c r="H174" s="431"/>
      <c r="I174" s="431"/>
      <c r="J174" s="428"/>
      <c r="K174" s="666"/>
      <c r="L174" s="666"/>
    </row>
    <row r="175" spans="1:17" ht="13.5" thickBot="1">
      <c r="B175" s="1002" t="s">
        <v>316</v>
      </c>
      <c r="C175" s="1003"/>
      <c r="D175" s="1003"/>
      <c r="E175" s="1003"/>
      <c r="F175" s="1003"/>
      <c r="G175" s="1003"/>
      <c r="H175" s="1003"/>
      <c r="I175" s="526">
        <f>I153+I154+I155+I156+I157+I158+I159+I160+I161+I162+I163+I164+I167+I168+I171+I172+I165+I169+I173</f>
        <v>549093.37500000012</v>
      </c>
      <c r="J175" s="1004" t="s">
        <v>264</v>
      </c>
      <c r="K175" s="1004"/>
      <c r="L175" s="1004"/>
      <c r="M175" s="527">
        <f>196906.938-166644.56+266644.56+200000</f>
        <v>496906.93799999997</v>
      </c>
      <c r="N175" s="525"/>
    </row>
    <row r="176" spans="1:17">
      <c r="B176" s="427"/>
      <c r="C176" s="428"/>
      <c r="D176" s="666"/>
      <c r="E176" s="430"/>
      <c r="F176" s="431"/>
      <c r="G176" s="431"/>
      <c r="H176" s="431"/>
      <c r="I176" s="431"/>
      <c r="J176" s="428"/>
      <c r="K176" s="666"/>
      <c r="L176" s="666"/>
    </row>
    <row r="178" spans="1:17">
      <c r="B178" s="427">
        <v>43206</v>
      </c>
      <c r="C178" s="428" t="s">
        <v>208</v>
      </c>
      <c r="D178" s="679" t="s">
        <v>195</v>
      </c>
      <c r="E178" s="430">
        <v>42160</v>
      </c>
      <c r="F178" s="431">
        <v>1.7</v>
      </c>
      <c r="G178" s="431">
        <f>+E178*F178</f>
        <v>71672</v>
      </c>
      <c r="H178" s="431">
        <f>+G178*0.19</f>
        <v>13617.68</v>
      </c>
      <c r="I178" s="431">
        <f>+H178+G178+0.6</f>
        <v>85290.28</v>
      </c>
      <c r="J178" s="428"/>
      <c r="K178" s="685" t="s">
        <v>317</v>
      </c>
      <c r="L178" s="679"/>
      <c r="O178" s="26"/>
      <c r="P178" s="663"/>
      <c r="Q178" s="473"/>
    </row>
    <row r="181" spans="1:17">
      <c r="A181" s="619"/>
      <c r="B181" s="427">
        <v>43202</v>
      </c>
      <c r="C181" s="428" t="s">
        <v>276</v>
      </c>
      <c r="D181" s="679" t="s">
        <v>195</v>
      </c>
      <c r="E181" s="430">
        <v>2004</v>
      </c>
      <c r="F181" s="431">
        <v>33</v>
      </c>
      <c r="G181" s="431">
        <f>+E181*F181</f>
        <v>66132</v>
      </c>
      <c r="H181" s="431">
        <f>+G181*0.19</f>
        <v>12565.08</v>
      </c>
      <c r="I181" s="431">
        <f>+H181+G181</f>
        <v>78697.08</v>
      </c>
      <c r="J181" s="428"/>
      <c r="K181" s="685" t="s">
        <v>318</v>
      </c>
      <c r="L181" s="679"/>
      <c r="N181" s="426"/>
    </row>
    <row r="182" spans="1:17">
      <c r="N182" s="426"/>
    </row>
    <row r="183" spans="1:17">
      <c r="A183" s="619"/>
      <c r="B183" s="427">
        <v>43202</v>
      </c>
      <c r="C183" s="428" t="s">
        <v>197</v>
      </c>
      <c r="D183" s="679" t="s">
        <v>195</v>
      </c>
      <c r="E183" s="430">
        <v>2756</v>
      </c>
      <c r="F183" s="431">
        <v>4.5</v>
      </c>
      <c r="G183" s="431">
        <f>+E183*F183</f>
        <v>12402</v>
      </c>
      <c r="H183" s="431">
        <f>+G183*0.19</f>
        <v>2356.38</v>
      </c>
      <c r="I183" s="431">
        <f>+H183+G183</f>
        <v>14758.380000000001</v>
      </c>
      <c r="J183" s="428"/>
      <c r="K183" s="995" t="s">
        <v>317</v>
      </c>
      <c r="L183" s="679"/>
      <c r="N183" s="426"/>
    </row>
    <row r="184" spans="1:17">
      <c r="A184" s="619"/>
      <c r="B184" s="427">
        <v>43207</v>
      </c>
      <c r="C184" s="428" t="s">
        <v>197</v>
      </c>
      <c r="D184" s="679" t="s">
        <v>195</v>
      </c>
      <c r="E184" s="430">
        <v>4881</v>
      </c>
      <c r="F184" s="431">
        <v>4.5</v>
      </c>
      <c r="G184" s="431">
        <f>+E184*F184</f>
        <v>21964.5</v>
      </c>
      <c r="H184" s="431">
        <f>+G184*0.19</f>
        <v>4173.2550000000001</v>
      </c>
      <c r="I184" s="431">
        <f>+H184+G184</f>
        <v>26137.755000000001</v>
      </c>
      <c r="J184" s="428"/>
      <c r="K184" s="995"/>
      <c r="L184" s="679"/>
      <c r="N184" s="426"/>
    </row>
    <row r="185" spans="1:17">
      <c r="A185" s="619"/>
      <c r="B185" s="427">
        <v>43210</v>
      </c>
      <c r="C185" s="428" t="s">
        <v>197</v>
      </c>
      <c r="D185" s="679" t="s">
        <v>195</v>
      </c>
      <c r="E185" s="430">
        <v>3198</v>
      </c>
      <c r="F185" s="431">
        <v>4.5</v>
      </c>
      <c r="G185" s="431">
        <f>+E185*F185</f>
        <v>14391</v>
      </c>
      <c r="H185" s="431">
        <f>+G185*0.19</f>
        <v>2734.29</v>
      </c>
      <c r="I185" s="431">
        <f>+H185+G185</f>
        <v>17125.29</v>
      </c>
      <c r="J185" s="428"/>
      <c r="K185" s="995"/>
      <c r="L185" s="679"/>
      <c r="N185" s="426"/>
    </row>
    <row r="186" spans="1:17">
      <c r="B186" s="434">
        <v>43223</v>
      </c>
      <c r="C186" s="26" t="s">
        <v>197</v>
      </c>
      <c r="D186" s="684" t="s">
        <v>195</v>
      </c>
      <c r="E186" s="331">
        <v>4001</v>
      </c>
      <c r="F186" s="426">
        <v>4.5</v>
      </c>
      <c r="G186" s="426">
        <f>+E186*F186</f>
        <v>18004.5</v>
      </c>
      <c r="H186" s="426">
        <f>+G186*0.19</f>
        <v>3420.855</v>
      </c>
      <c r="I186" s="426">
        <f>+H186+G186</f>
        <v>21425.355</v>
      </c>
      <c r="K186" s="995"/>
      <c r="N186" s="426"/>
    </row>
    <row r="187" spans="1:17">
      <c r="N187" s="426"/>
    </row>
    <row r="188" spans="1:17">
      <c r="N188" s="426"/>
    </row>
    <row r="189" spans="1:17">
      <c r="D189" s="685"/>
      <c r="K189" s="685"/>
      <c r="L189" s="685"/>
      <c r="N189" s="426"/>
    </row>
    <row r="190" spans="1:17">
      <c r="D190" s="685"/>
      <c r="K190" s="685"/>
      <c r="L190" s="685"/>
      <c r="N190" s="426"/>
    </row>
    <row r="191" spans="1:17">
      <c r="D191" s="685"/>
      <c r="K191" s="685"/>
      <c r="L191" s="685"/>
      <c r="N191" s="426"/>
    </row>
    <row r="192" spans="1:17">
      <c r="D192" s="685"/>
      <c r="K192" s="685"/>
      <c r="L192" s="685"/>
      <c r="N192" s="426"/>
    </row>
    <row r="193" spans="2:17" s="799" customFormat="1">
      <c r="B193" s="794">
        <v>43166</v>
      </c>
      <c r="C193" s="795" t="s">
        <v>302</v>
      </c>
      <c r="D193" s="796" t="s">
        <v>195</v>
      </c>
      <c r="E193" s="797">
        <v>32680</v>
      </c>
      <c r="F193" s="798">
        <v>1.45</v>
      </c>
      <c r="G193" s="798">
        <f>+E193*F193</f>
        <v>47386</v>
      </c>
      <c r="H193" s="798">
        <f>+G193*0.19</f>
        <v>9003.34</v>
      </c>
      <c r="I193" s="798">
        <f>+H193+G193</f>
        <v>56389.34</v>
      </c>
      <c r="K193" s="800"/>
      <c r="L193" s="800"/>
      <c r="M193" s="801"/>
      <c r="N193" s="801" t="s">
        <v>205</v>
      </c>
      <c r="O193" s="802"/>
      <c r="P193" s="803"/>
      <c r="Q193" s="804"/>
    </row>
    <row r="194" spans="2:17" s="799" customFormat="1">
      <c r="B194" s="794">
        <v>43188</v>
      </c>
      <c r="C194" s="795" t="s">
        <v>302</v>
      </c>
      <c r="D194" s="796" t="s">
        <v>195</v>
      </c>
      <c r="E194" s="797">
        <v>35080</v>
      </c>
      <c r="F194" s="798">
        <v>1.45</v>
      </c>
      <c r="G194" s="798">
        <f>+E194*F194</f>
        <v>50866</v>
      </c>
      <c r="H194" s="798">
        <f>+G194*0.19</f>
        <v>9664.5400000000009</v>
      </c>
      <c r="I194" s="798">
        <f>+H194+G194</f>
        <v>60530.54</v>
      </c>
      <c r="K194" s="800"/>
      <c r="L194" s="800"/>
      <c r="M194" s="801"/>
      <c r="N194" s="801"/>
      <c r="O194" s="802"/>
      <c r="P194" s="803"/>
      <c r="Q194" s="804"/>
    </row>
    <row r="195" spans="2:17" s="799" customFormat="1">
      <c r="B195" s="805">
        <v>43234</v>
      </c>
      <c r="C195" s="799" t="s">
        <v>302</v>
      </c>
      <c r="D195" s="800" t="s">
        <v>195</v>
      </c>
      <c r="E195" s="806">
        <v>32240</v>
      </c>
      <c r="F195" s="801">
        <v>1.45</v>
      </c>
      <c r="G195" s="807">
        <f>+E195*F195</f>
        <v>46748</v>
      </c>
      <c r="H195" s="807">
        <f>+G195*0.19</f>
        <v>8882.1200000000008</v>
      </c>
      <c r="I195" s="807">
        <f>+H195+G195</f>
        <v>55630.12</v>
      </c>
      <c r="K195" s="800"/>
      <c r="L195" s="800"/>
      <c r="M195" s="801"/>
      <c r="N195" s="801"/>
      <c r="O195" s="802"/>
      <c r="P195" s="803"/>
      <c r="Q195" s="804"/>
    </row>
    <row r="196" spans="2:17" s="799" customFormat="1">
      <c r="B196" s="805"/>
      <c r="D196" s="800"/>
      <c r="E196" s="806"/>
      <c r="F196" s="801"/>
      <c r="G196" s="801"/>
      <c r="H196" s="801"/>
      <c r="I196" s="801"/>
      <c r="K196" s="800"/>
      <c r="L196" s="800"/>
      <c r="M196" s="801"/>
      <c r="N196" s="801"/>
      <c r="O196" s="802"/>
      <c r="P196" s="803"/>
      <c r="Q196" s="804"/>
    </row>
    <row r="197" spans="2:17" s="799" customFormat="1">
      <c r="B197" s="808">
        <v>43056</v>
      </c>
      <c r="C197" s="809" t="s">
        <v>286</v>
      </c>
      <c r="D197" s="810" t="s">
        <v>195</v>
      </c>
      <c r="E197" s="811">
        <v>1070</v>
      </c>
      <c r="F197" s="807">
        <v>2.8</v>
      </c>
      <c r="G197" s="807">
        <f>+E197*F197</f>
        <v>2996</v>
      </c>
      <c r="H197" s="807">
        <f>+G197*0.18</f>
        <v>539.28</v>
      </c>
      <c r="I197" s="807">
        <f>+H197+G197</f>
        <v>3535.2799999999997</v>
      </c>
      <c r="J197" s="809"/>
      <c r="K197" s="810"/>
      <c r="L197" s="810"/>
      <c r="M197" s="801"/>
      <c r="N197" s="801"/>
      <c r="O197" s="802"/>
      <c r="P197" s="803"/>
      <c r="Q197" s="804"/>
    </row>
    <row r="198" spans="2:17" s="799" customFormat="1">
      <c r="B198" s="808"/>
      <c r="C198" s="809"/>
      <c r="D198" s="810"/>
      <c r="E198" s="811"/>
      <c r="F198" s="807"/>
      <c r="G198" s="807"/>
      <c r="H198" s="807"/>
      <c r="I198" s="807"/>
      <c r="J198" s="809"/>
      <c r="K198" s="810"/>
      <c r="L198" s="810"/>
      <c r="M198" s="801"/>
      <c r="N198" s="801"/>
      <c r="O198" s="802"/>
      <c r="P198" s="803"/>
      <c r="Q198" s="804"/>
    </row>
    <row r="199" spans="2:17" s="799" customFormat="1">
      <c r="B199" s="808">
        <v>43066</v>
      </c>
      <c r="C199" s="809" t="s">
        <v>266</v>
      </c>
      <c r="D199" s="810" t="s">
        <v>195</v>
      </c>
      <c r="E199" s="811">
        <v>13620</v>
      </c>
      <c r="F199" s="807">
        <v>0.3</v>
      </c>
      <c r="G199" s="807">
        <f>+E199*F199</f>
        <v>4086</v>
      </c>
      <c r="H199" s="807">
        <f>+G199*0.18</f>
        <v>735.48</v>
      </c>
      <c r="I199" s="807">
        <f>+H199+G199</f>
        <v>4821.4799999999996</v>
      </c>
      <c r="J199" s="809"/>
      <c r="K199" s="810"/>
      <c r="L199" s="810"/>
      <c r="M199" s="801"/>
      <c r="N199" s="812"/>
      <c r="O199" s="802"/>
      <c r="P199" s="803"/>
      <c r="Q199" s="804"/>
    </row>
    <row r="200" spans="2:17" s="799" customFormat="1">
      <c r="B200" s="805"/>
      <c r="D200" s="800"/>
      <c r="E200" s="806"/>
      <c r="F200" s="801"/>
      <c r="G200" s="801"/>
      <c r="H200" s="801"/>
      <c r="I200" s="801"/>
      <c r="K200" s="800"/>
      <c r="L200" s="800"/>
      <c r="M200" s="801"/>
      <c r="N200" s="812"/>
      <c r="O200" s="802"/>
      <c r="P200" s="803"/>
      <c r="Q200" s="804"/>
    </row>
    <row r="201" spans="2:17" s="799" customFormat="1">
      <c r="B201" s="808">
        <v>43216</v>
      </c>
      <c r="C201" s="809" t="s">
        <v>208</v>
      </c>
      <c r="D201" s="810" t="s">
        <v>195</v>
      </c>
      <c r="E201" s="811">
        <v>41480</v>
      </c>
      <c r="F201" s="807">
        <v>1.7</v>
      </c>
      <c r="G201" s="807">
        <f>+E201*F201</f>
        <v>70516</v>
      </c>
      <c r="H201" s="807">
        <f>+G201*0.19</f>
        <v>13398.04</v>
      </c>
      <c r="I201" s="807">
        <f>+H201+G201</f>
        <v>83914.040000000008</v>
      </c>
      <c r="J201" s="809"/>
      <c r="K201" s="800"/>
      <c r="L201" s="810"/>
      <c r="M201" s="801"/>
      <c r="N201" s="812"/>
      <c r="P201" s="813"/>
      <c r="Q201" s="814"/>
    </row>
    <row r="202" spans="2:17" s="799" customFormat="1">
      <c r="B202" s="805">
        <v>43235</v>
      </c>
      <c r="C202" s="799" t="s">
        <v>208</v>
      </c>
      <c r="D202" s="800" t="s">
        <v>195</v>
      </c>
      <c r="E202" s="806">
        <v>42440</v>
      </c>
      <c r="F202" s="801">
        <v>1.65</v>
      </c>
      <c r="G202" s="807">
        <f>+E202*F202</f>
        <v>70026</v>
      </c>
      <c r="H202" s="807">
        <f>+G202*0.19</f>
        <v>13304.94</v>
      </c>
      <c r="I202" s="807">
        <f>+H202+G202</f>
        <v>83330.94</v>
      </c>
      <c r="K202" s="800"/>
      <c r="L202" s="800"/>
      <c r="M202" s="801"/>
      <c r="N202" s="812"/>
      <c r="O202" s="802"/>
      <c r="P202" s="803"/>
      <c r="Q202" s="804"/>
    </row>
    <row r="203" spans="2:17" s="799" customFormat="1">
      <c r="B203" s="805"/>
      <c r="D203" s="800"/>
      <c r="E203" s="806"/>
      <c r="F203" s="801"/>
      <c r="G203" s="807"/>
      <c r="H203" s="807"/>
      <c r="I203" s="807"/>
      <c r="K203" s="800"/>
      <c r="L203" s="800"/>
      <c r="M203" s="801"/>
      <c r="N203" s="812"/>
      <c r="O203" s="802"/>
      <c r="P203" s="803"/>
      <c r="Q203" s="804"/>
    </row>
    <row r="204" spans="2:17">
      <c r="B204" s="434">
        <v>43242</v>
      </c>
      <c r="C204" s="26" t="s">
        <v>197</v>
      </c>
      <c r="D204" s="826" t="s">
        <v>195</v>
      </c>
      <c r="E204" s="331">
        <v>6151</v>
      </c>
      <c r="F204" s="426">
        <v>4.4000000000000004</v>
      </c>
      <c r="G204" s="426">
        <f>+E204*F204</f>
        <v>27064.400000000001</v>
      </c>
      <c r="H204" s="426">
        <f>+G204*0.19</f>
        <v>5142.2360000000008</v>
      </c>
      <c r="I204" s="426">
        <f>+H204+G204</f>
        <v>32206.636000000002</v>
      </c>
    </row>
    <row r="205" spans="2:17">
      <c r="B205" s="434">
        <v>43249</v>
      </c>
      <c r="C205" s="26" t="s">
        <v>197</v>
      </c>
      <c r="D205" s="827" t="s">
        <v>195</v>
      </c>
      <c r="E205" s="331">
        <v>5902</v>
      </c>
      <c r="F205" s="426">
        <v>4.4000000000000004</v>
      </c>
      <c r="G205" s="426">
        <f>+E205*F205</f>
        <v>25968.800000000003</v>
      </c>
      <c r="H205" s="426">
        <f>+G205*0.19</f>
        <v>4934.072000000001</v>
      </c>
      <c r="I205" s="426">
        <f>+H205+G205</f>
        <v>30902.872000000003</v>
      </c>
    </row>
  </sheetData>
  <sortState ref="B102:I123">
    <sortCondition ref="B102:B123"/>
  </sortState>
  <mergeCells count="24">
    <mergeCell ref="B175:H175"/>
    <mergeCell ref="J175:L175"/>
    <mergeCell ref="B151:H151"/>
    <mergeCell ref="J151:L151"/>
    <mergeCell ref="P33:P38"/>
    <mergeCell ref="K144:K150"/>
    <mergeCell ref="K139:K142"/>
    <mergeCell ref="K171:K173"/>
    <mergeCell ref="K167:K169"/>
    <mergeCell ref="K153:K165"/>
    <mergeCell ref="K183:K186"/>
    <mergeCell ref="P2:P5"/>
    <mergeCell ref="Q2:Q5"/>
    <mergeCell ref="P7:P11"/>
    <mergeCell ref="Q7:Q11"/>
    <mergeCell ref="P13:P31"/>
    <mergeCell ref="Q13:Q31"/>
    <mergeCell ref="Q33:Q38"/>
    <mergeCell ref="P54:P58"/>
    <mergeCell ref="Q54:Q58"/>
    <mergeCell ref="P40:P44"/>
    <mergeCell ref="Q40:Q44"/>
    <mergeCell ref="P46:P52"/>
    <mergeCell ref="Q46:Q52"/>
  </mergeCells>
  <pageMargins left="0" right="0" top="0" bottom="0" header="0.31496062992125984" footer="0.31496062992125984"/>
  <pageSetup paperSize="9" scale="72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35"/>
  <sheetViews>
    <sheetView zoomScale="85" zoomScaleNormal="85" workbookViewId="0">
      <selection activeCell="P17" sqref="P17"/>
    </sheetView>
  </sheetViews>
  <sheetFormatPr baseColWidth="10" defaultRowHeight="12.75"/>
  <cols>
    <col min="1" max="1" width="1.5703125" style="473" customWidth="1"/>
    <col min="2" max="2" width="10.85546875" style="507" bestFit="1" customWidth="1"/>
    <col min="3" max="3" width="18.85546875" style="473" bestFit="1" customWidth="1"/>
    <col min="4" max="4" width="3.85546875" style="477" bestFit="1" customWidth="1"/>
    <col min="5" max="5" width="19.140625" style="508" bestFit="1" customWidth="1"/>
    <col min="6" max="7" width="11.7109375" style="474" bestFit="1" customWidth="1"/>
    <col min="8" max="8" width="10.28515625" style="474" bestFit="1" customWidth="1"/>
    <col min="9" max="9" width="10.28515625" style="474" customWidth="1"/>
    <col min="10" max="10" width="11.28515625" style="474" bestFit="1" customWidth="1"/>
    <col min="11" max="11" width="9.5703125" style="473" bestFit="1" customWidth="1"/>
    <col min="12" max="12" width="12.42578125" style="473" bestFit="1" customWidth="1"/>
    <col min="13" max="13" width="9.42578125" style="477" customWidth="1"/>
    <col min="14" max="14" width="11.28515625" style="474" bestFit="1" customWidth="1"/>
    <col min="15" max="15" width="10.85546875" style="507" bestFit="1" customWidth="1"/>
    <col min="16" max="16" width="9.42578125" style="478" bestFit="1" customWidth="1"/>
    <col min="17" max="17" width="11.7109375" style="473" bestFit="1" customWidth="1"/>
    <col min="18" max="18" width="12" style="477" bestFit="1" customWidth="1"/>
    <col min="19" max="16384" width="11.42578125" style="473"/>
  </cols>
  <sheetData>
    <row r="1" spans="2:20" s="472" customFormat="1" ht="26.25" thickBot="1">
      <c r="B1" s="453" t="s">
        <v>183</v>
      </c>
      <c r="C1" s="454" t="s">
        <v>184</v>
      </c>
      <c r="D1" s="454" t="s">
        <v>185</v>
      </c>
      <c r="E1" s="455" t="s">
        <v>186</v>
      </c>
      <c r="F1" s="456" t="s">
        <v>187</v>
      </c>
      <c r="G1" s="456" t="s">
        <v>189</v>
      </c>
      <c r="H1" s="456" t="s">
        <v>190</v>
      </c>
      <c r="I1" s="456" t="s">
        <v>253</v>
      </c>
      <c r="J1" s="456" t="s">
        <v>191</v>
      </c>
      <c r="K1" s="454" t="s">
        <v>192</v>
      </c>
      <c r="L1" s="454" t="s">
        <v>193</v>
      </c>
      <c r="M1" s="454" t="s">
        <v>188</v>
      </c>
      <c r="N1" s="456" t="s">
        <v>11</v>
      </c>
      <c r="O1" s="453" t="s">
        <v>10</v>
      </c>
      <c r="P1" s="458" t="s">
        <v>194</v>
      </c>
      <c r="Q1" s="458" t="s">
        <v>248</v>
      </c>
      <c r="R1" s="471" t="s">
        <v>247</v>
      </c>
    </row>
    <row r="2" spans="2:20" s="476" customFormat="1" ht="13.5" thickBot="1">
      <c r="B2" s="487">
        <v>42872</v>
      </c>
      <c r="C2" s="488" t="s">
        <v>208</v>
      </c>
      <c r="D2" s="489" t="s">
        <v>195</v>
      </c>
      <c r="E2" s="490">
        <v>36260</v>
      </c>
      <c r="F2" s="491">
        <v>1.4</v>
      </c>
      <c r="G2" s="491">
        <f>+E2*F2</f>
        <v>50764</v>
      </c>
      <c r="H2" s="491">
        <f>+G2*0.18</f>
        <v>9137.52</v>
      </c>
      <c r="I2" s="491">
        <f>(G2+H2)*1%</f>
        <v>599.01520000000005</v>
      </c>
      <c r="J2" s="491">
        <f>+H2+G2+I2</f>
        <v>60500.535200000006</v>
      </c>
      <c r="K2" s="488" t="s">
        <v>251</v>
      </c>
      <c r="L2" s="488">
        <v>545</v>
      </c>
      <c r="M2" s="488" t="s">
        <v>45</v>
      </c>
      <c r="N2" s="491">
        <f>J2+0.5</f>
        <v>60501.035200000006</v>
      </c>
      <c r="O2" s="510">
        <v>42880</v>
      </c>
      <c r="P2" s="493" t="s">
        <v>102</v>
      </c>
      <c r="Q2" s="493" t="s">
        <v>254</v>
      </c>
      <c r="R2" s="614" t="s">
        <v>45</v>
      </c>
    </row>
    <row r="3" spans="2:20" ht="13.5" thickBot="1">
      <c r="B3" s="487">
        <v>42888</v>
      </c>
      <c r="C3" s="488" t="s">
        <v>208</v>
      </c>
      <c r="D3" s="489" t="s">
        <v>195</v>
      </c>
      <c r="E3" s="490">
        <v>36260</v>
      </c>
      <c r="F3" s="491">
        <v>1.4</v>
      </c>
      <c r="G3" s="491">
        <f t="shared" ref="G3:G35" si="0">+E3*F3</f>
        <v>50764</v>
      </c>
      <c r="H3" s="491">
        <f t="shared" ref="H3:H25" si="1">+G3*0.18</f>
        <v>9137.52</v>
      </c>
      <c r="I3" s="491">
        <f t="shared" ref="I3:I27" si="2">(G3+H3)*1%</f>
        <v>599.01520000000005</v>
      </c>
      <c r="J3" s="491">
        <f t="shared" ref="J3:J25" si="3">+H3+G3+I3</f>
        <v>60500.535200000006</v>
      </c>
      <c r="K3" s="1009" t="s">
        <v>255</v>
      </c>
      <c r="L3" s="1009"/>
      <c r="M3" s="488" t="s">
        <v>45</v>
      </c>
      <c r="N3" s="491">
        <v>61018.027000000002</v>
      </c>
      <c r="O3" s="510">
        <v>42947</v>
      </c>
      <c r="P3" s="493" t="s">
        <v>102</v>
      </c>
      <c r="Q3" s="493" t="s">
        <v>254</v>
      </c>
      <c r="R3" s="614" t="s">
        <v>45</v>
      </c>
      <c r="T3" s="476"/>
    </row>
    <row r="4" spans="2:20" ht="13.5" thickBot="1">
      <c r="B4" s="487">
        <v>42899</v>
      </c>
      <c r="C4" s="488" t="s">
        <v>208</v>
      </c>
      <c r="D4" s="489" t="s">
        <v>195</v>
      </c>
      <c r="E4" s="490">
        <v>36880</v>
      </c>
      <c r="F4" s="491">
        <v>1.4</v>
      </c>
      <c r="G4" s="491">
        <f t="shared" si="0"/>
        <v>51632</v>
      </c>
      <c r="H4" s="491">
        <f t="shared" si="1"/>
        <v>9293.76</v>
      </c>
      <c r="I4" s="491">
        <f t="shared" si="2"/>
        <v>609.25760000000002</v>
      </c>
      <c r="J4" s="491">
        <f t="shared" si="3"/>
        <v>61535.017599999999</v>
      </c>
      <c r="K4" s="1009" t="s">
        <v>255</v>
      </c>
      <c r="L4" s="1009"/>
      <c r="M4" s="488" t="s">
        <v>45</v>
      </c>
      <c r="N4" s="491">
        <v>61018.027000000002</v>
      </c>
      <c r="O4" s="510">
        <v>42962</v>
      </c>
      <c r="P4" s="493" t="s">
        <v>102</v>
      </c>
      <c r="Q4" s="493" t="s">
        <v>254</v>
      </c>
      <c r="R4" s="614" t="s">
        <v>45</v>
      </c>
      <c r="T4" s="476"/>
    </row>
    <row r="5" spans="2:20" ht="13.5" thickBot="1">
      <c r="B5" s="487">
        <v>42908</v>
      </c>
      <c r="C5" s="488" t="s">
        <v>208</v>
      </c>
      <c r="D5" s="489" t="s">
        <v>195</v>
      </c>
      <c r="E5" s="490">
        <v>37660</v>
      </c>
      <c r="F5" s="491">
        <v>1.4</v>
      </c>
      <c r="G5" s="491">
        <f t="shared" si="0"/>
        <v>52724</v>
      </c>
      <c r="H5" s="491">
        <f t="shared" si="1"/>
        <v>9490.32</v>
      </c>
      <c r="I5" s="491">
        <f t="shared" si="2"/>
        <v>622.14319999999998</v>
      </c>
      <c r="J5" s="491">
        <f t="shared" si="3"/>
        <v>62836.463199999998</v>
      </c>
      <c r="K5" s="488" t="s">
        <v>251</v>
      </c>
      <c r="L5" s="488">
        <v>689</v>
      </c>
      <c r="M5" s="488" t="s">
        <v>45</v>
      </c>
      <c r="N5" s="491">
        <f>J5+0.5</f>
        <v>62836.963199999998</v>
      </c>
      <c r="O5" s="510">
        <v>42930</v>
      </c>
      <c r="P5" s="493" t="s">
        <v>102</v>
      </c>
      <c r="Q5" s="493" t="s">
        <v>254</v>
      </c>
      <c r="R5" s="614" t="s">
        <v>45</v>
      </c>
      <c r="T5" s="476"/>
    </row>
    <row r="6" spans="2:20" ht="13.5" thickBot="1">
      <c r="B6" s="487">
        <v>42933</v>
      </c>
      <c r="C6" s="488" t="s">
        <v>208</v>
      </c>
      <c r="D6" s="489" t="s">
        <v>195</v>
      </c>
      <c r="E6" s="490">
        <v>37460</v>
      </c>
      <c r="F6" s="491">
        <v>1.4</v>
      </c>
      <c r="G6" s="491">
        <f t="shared" si="0"/>
        <v>52444</v>
      </c>
      <c r="H6" s="491">
        <f t="shared" si="1"/>
        <v>9439.92</v>
      </c>
      <c r="I6" s="491">
        <f t="shared" si="2"/>
        <v>618.83920000000001</v>
      </c>
      <c r="J6" s="491">
        <f t="shared" si="3"/>
        <v>62502.7592</v>
      </c>
      <c r="K6" s="488" t="s">
        <v>251</v>
      </c>
      <c r="L6" s="488">
        <v>748</v>
      </c>
      <c r="M6" s="488" t="s">
        <v>45</v>
      </c>
      <c r="N6" s="491">
        <f t="shared" ref="N6:N11" si="4">J6+0.5</f>
        <v>62503.2592</v>
      </c>
      <c r="O6" s="510">
        <v>42942</v>
      </c>
      <c r="P6" s="493" t="s">
        <v>102</v>
      </c>
      <c r="Q6" s="493" t="s">
        <v>254</v>
      </c>
      <c r="R6" s="614" t="s">
        <v>45</v>
      </c>
      <c r="T6" s="476"/>
    </row>
    <row r="7" spans="2:20" ht="13.5" thickBot="1">
      <c r="B7" s="487">
        <v>42950</v>
      </c>
      <c r="C7" s="488" t="s">
        <v>208</v>
      </c>
      <c r="D7" s="489" t="s">
        <v>195</v>
      </c>
      <c r="E7" s="490">
        <v>37400</v>
      </c>
      <c r="F7" s="491">
        <v>1.4</v>
      </c>
      <c r="G7" s="491">
        <f t="shared" si="0"/>
        <v>52360</v>
      </c>
      <c r="H7" s="491">
        <f t="shared" si="1"/>
        <v>9424.7999999999993</v>
      </c>
      <c r="I7" s="491">
        <f t="shared" si="2"/>
        <v>617.84800000000007</v>
      </c>
      <c r="J7" s="491">
        <f t="shared" si="3"/>
        <v>62402.648000000001</v>
      </c>
      <c r="K7" s="488" t="s">
        <v>251</v>
      </c>
      <c r="L7" s="488">
        <v>814</v>
      </c>
      <c r="M7" s="488" t="s">
        <v>45</v>
      </c>
      <c r="N7" s="491">
        <f t="shared" si="4"/>
        <v>62403.148000000001</v>
      </c>
      <c r="O7" s="510">
        <v>42964</v>
      </c>
      <c r="P7" s="493" t="s">
        <v>102</v>
      </c>
      <c r="Q7" s="493" t="s">
        <v>254</v>
      </c>
      <c r="R7" s="614" t="s">
        <v>45</v>
      </c>
      <c r="T7" s="476"/>
    </row>
    <row r="8" spans="2:20" ht="13.5" thickBot="1">
      <c r="B8" s="487">
        <v>42963</v>
      </c>
      <c r="C8" s="488" t="s">
        <v>208</v>
      </c>
      <c r="D8" s="489" t="s">
        <v>195</v>
      </c>
      <c r="E8" s="490">
        <v>36600</v>
      </c>
      <c r="F8" s="491">
        <v>1.4</v>
      </c>
      <c r="G8" s="491">
        <f t="shared" si="0"/>
        <v>51240</v>
      </c>
      <c r="H8" s="491">
        <f t="shared" si="1"/>
        <v>9223.1999999999989</v>
      </c>
      <c r="I8" s="491">
        <f t="shared" si="2"/>
        <v>604.63199999999995</v>
      </c>
      <c r="J8" s="491">
        <f t="shared" si="3"/>
        <v>61067.831999999995</v>
      </c>
      <c r="K8" s="488" t="s">
        <v>251</v>
      </c>
      <c r="L8" s="488">
        <v>869</v>
      </c>
      <c r="M8" s="488" t="s">
        <v>45</v>
      </c>
      <c r="N8" s="491">
        <f t="shared" si="4"/>
        <v>61068.331999999995</v>
      </c>
      <c r="O8" s="510">
        <v>42972</v>
      </c>
      <c r="P8" s="493" t="s">
        <v>102</v>
      </c>
      <c r="Q8" s="493" t="s">
        <v>254</v>
      </c>
      <c r="R8" s="614" t="s">
        <v>45</v>
      </c>
      <c r="T8" s="476"/>
    </row>
    <row r="9" spans="2:20" ht="13.5" thickBot="1">
      <c r="B9" s="487">
        <v>42968</v>
      </c>
      <c r="C9" s="488" t="s">
        <v>208</v>
      </c>
      <c r="D9" s="489" t="s">
        <v>195</v>
      </c>
      <c r="E9" s="490">
        <v>36100</v>
      </c>
      <c r="F9" s="491">
        <v>1.4</v>
      </c>
      <c r="G9" s="491">
        <f t="shared" si="0"/>
        <v>50540</v>
      </c>
      <c r="H9" s="491">
        <f t="shared" si="1"/>
        <v>9097.1999999999989</v>
      </c>
      <c r="I9" s="491">
        <f t="shared" si="2"/>
        <v>596.37199999999996</v>
      </c>
      <c r="J9" s="491">
        <f t="shared" si="3"/>
        <v>60233.572</v>
      </c>
      <c r="K9" s="488" t="s">
        <v>251</v>
      </c>
      <c r="L9" s="488">
        <v>889</v>
      </c>
      <c r="M9" s="488" t="s">
        <v>45</v>
      </c>
      <c r="N9" s="491">
        <f t="shared" si="4"/>
        <v>60234.072</v>
      </c>
      <c r="O9" s="510">
        <v>42985</v>
      </c>
      <c r="P9" s="493" t="s">
        <v>102</v>
      </c>
      <c r="Q9" s="493" t="s">
        <v>254</v>
      </c>
      <c r="R9" s="614" t="s">
        <v>45</v>
      </c>
      <c r="T9" s="476"/>
    </row>
    <row r="10" spans="2:20" ht="13.5" thickBot="1">
      <c r="B10" s="487">
        <v>42976</v>
      </c>
      <c r="C10" s="488" t="s">
        <v>208</v>
      </c>
      <c r="D10" s="489" t="s">
        <v>195</v>
      </c>
      <c r="E10" s="490">
        <v>37960</v>
      </c>
      <c r="F10" s="491">
        <v>1.4</v>
      </c>
      <c r="G10" s="491">
        <f t="shared" si="0"/>
        <v>53144</v>
      </c>
      <c r="H10" s="491">
        <f t="shared" si="1"/>
        <v>9565.92</v>
      </c>
      <c r="I10" s="491">
        <f t="shared" si="2"/>
        <v>627.0992</v>
      </c>
      <c r="J10" s="491">
        <f t="shared" si="3"/>
        <v>63337.019199999995</v>
      </c>
      <c r="K10" s="488" t="s">
        <v>251</v>
      </c>
      <c r="L10" s="488">
        <v>922</v>
      </c>
      <c r="M10" s="488" t="s">
        <v>45</v>
      </c>
      <c r="N10" s="491">
        <f t="shared" si="4"/>
        <v>63337.519199999995</v>
      </c>
      <c r="O10" s="510">
        <v>42990</v>
      </c>
      <c r="P10" s="493" t="s">
        <v>102</v>
      </c>
      <c r="Q10" s="493" t="s">
        <v>254</v>
      </c>
      <c r="R10" s="614" t="s">
        <v>45</v>
      </c>
      <c r="T10" s="476"/>
    </row>
    <row r="11" spans="2:20" ht="13.5" thickBot="1">
      <c r="B11" s="487">
        <v>42989</v>
      </c>
      <c r="C11" s="488" t="s">
        <v>208</v>
      </c>
      <c r="D11" s="489" t="s">
        <v>195</v>
      </c>
      <c r="E11" s="490">
        <v>37520</v>
      </c>
      <c r="F11" s="491">
        <v>1.4</v>
      </c>
      <c r="G11" s="491">
        <f t="shared" si="0"/>
        <v>52528</v>
      </c>
      <c r="H11" s="491">
        <f t="shared" si="1"/>
        <v>9455.0399999999991</v>
      </c>
      <c r="I11" s="491">
        <f t="shared" si="2"/>
        <v>619.83040000000005</v>
      </c>
      <c r="J11" s="491">
        <f t="shared" si="3"/>
        <v>62602.8704</v>
      </c>
      <c r="K11" s="488" t="s">
        <v>251</v>
      </c>
      <c r="L11" s="488">
        <v>966</v>
      </c>
      <c r="M11" s="488" t="s">
        <v>45</v>
      </c>
      <c r="N11" s="491">
        <f t="shared" si="4"/>
        <v>62603.3704</v>
      </c>
      <c r="O11" s="510">
        <v>43000</v>
      </c>
      <c r="P11" s="493" t="s">
        <v>102</v>
      </c>
      <c r="Q11" s="493" t="s">
        <v>254</v>
      </c>
      <c r="R11" s="614" t="s">
        <v>45</v>
      </c>
      <c r="T11" s="476"/>
    </row>
    <row r="12" spans="2:20" ht="13.5" thickBot="1">
      <c r="B12" s="487">
        <v>42993</v>
      </c>
      <c r="C12" s="488" t="s">
        <v>208</v>
      </c>
      <c r="D12" s="489" t="s">
        <v>195</v>
      </c>
      <c r="E12" s="490">
        <v>34260</v>
      </c>
      <c r="F12" s="491">
        <v>1.4</v>
      </c>
      <c r="G12" s="491">
        <f t="shared" si="0"/>
        <v>47964</v>
      </c>
      <c r="H12" s="491">
        <f t="shared" si="1"/>
        <v>8633.52</v>
      </c>
      <c r="I12" s="491">
        <f t="shared" si="2"/>
        <v>565.97520000000009</v>
      </c>
      <c r="J12" s="491">
        <f t="shared" si="3"/>
        <v>57163.495200000005</v>
      </c>
      <c r="K12" s="1009" t="s">
        <v>251</v>
      </c>
      <c r="L12" s="1010">
        <v>978</v>
      </c>
      <c r="M12" s="1009" t="s">
        <v>45</v>
      </c>
      <c r="N12" s="1011">
        <f>J12+J13+0.5</f>
        <v>122136.164</v>
      </c>
      <c r="O12" s="1012">
        <v>43004</v>
      </c>
      <c r="P12" s="1006" t="s">
        <v>102</v>
      </c>
      <c r="Q12" s="1007" t="s">
        <v>254</v>
      </c>
      <c r="R12" s="1008" t="s">
        <v>45</v>
      </c>
      <c r="T12" s="476"/>
    </row>
    <row r="13" spans="2:20" ht="13.5" thickBot="1">
      <c r="B13" s="487">
        <v>42996</v>
      </c>
      <c r="C13" s="488" t="s">
        <v>208</v>
      </c>
      <c r="D13" s="489" t="s">
        <v>195</v>
      </c>
      <c r="E13" s="490">
        <v>38940</v>
      </c>
      <c r="F13" s="491">
        <v>1.4</v>
      </c>
      <c r="G13" s="491">
        <f t="shared" si="0"/>
        <v>54516</v>
      </c>
      <c r="H13" s="491">
        <f t="shared" si="1"/>
        <v>9812.8799999999992</v>
      </c>
      <c r="I13" s="491">
        <f t="shared" si="2"/>
        <v>643.28880000000004</v>
      </c>
      <c r="J13" s="491">
        <f t="shared" si="3"/>
        <v>64972.168799999999</v>
      </c>
      <c r="K13" s="1009"/>
      <c r="L13" s="1010"/>
      <c r="M13" s="1009"/>
      <c r="N13" s="1011"/>
      <c r="O13" s="1012"/>
      <c r="P13" s="1006"/>
      <c r="Q13" s="1007"/>
      <c r="R13" s="1008"/>
      <c r="T13" s="476"/>
    </row>
    <row r="14" spans="2:20" ht="13.5" thickBot="1">
      <c r="B14" s="487">
        <v>43003</v>
      </c>
      <c r="C14" s="488" t="s">
        <v>208</v>
      </c>
      <c r="D14" s="489" t="s">
        <v>195</v>
      </c>
      <c r="E14" s="490">
        <v>37400</v>
      </c>
      <c r="F14" s="491">
        <v>1.4</v>
      </c>
      <c r="G14" s="491">
        <f t="shared" si="0"/>
        <v>52360</v>
      </c>
      <c r="H14" s="491">
        <f t="shared" si="1"/>
        <v>9424.7999999999993</v>
      </c>
      <c r="I14" s="491">
        <f t="shared" si="2"/>
        <v>617.84800000000007</v>
      </c>
      <c r="J14" s="491">
        <f t="shared" si="3"/>
        <v>62402.648000000001</v>
      </c>
      <c r="K14" s="488" t="s">
        <v>251</v>
      </c>
      <c r="L14" s="488">
        <v>992</v>
      </c>
      <c r="M14" s="488" t="s">
        <v>45</v>
      </c>
      <c r="N14" s="491">
        <f>J14+0.5</f>
        <v>62403.148000000001</v>
      </c>
      <c r="O14" s="510">
        <v>43013</v>
      </c>
      <c r="P14" s="493" t="s">
        <v>102</v>
      </c>
      <c r="Q14" s="493" t="s">
        <v>254</v>
      </c>
      <c r="R14" s="614" t="s">
        <v>45</v>
      </c>
      <c r="T14" s="476"/>
    </row>
    <row r="15" spans="2:20" ht="13.5" thickBot="1">
      <c r="B15" s="487">
        <v>43006</v>
      </c>
      <c r="C15" s="488" t="s">
        <v>208</v>
      </c>
      <c r="D15" s="489" t="s">
        <v>195</v>
      </c>
      <c r="E15" s="490">
        <v>38120</v>
      </c>
      <c r="F15" s="491">
        <v>1.4</v>
      </c>
      <c r="G15" s="491">
        <f t="shared" si="0"/>
        <v>53368</v>
      </c>
      <c r="H15" s="491">
        <f t="shared" si="1"/>
        <v>9606.24</v>
      </c>
      <c r="I15" s="491">
        <f t="shared" si="2"/>
        <v>629.74239999999998</v>
      </c>
      <c r="J15" s="491">
        <f t="shared" si="3"/>
        <v>63603.982400000001</v>
      </c>
      <c r="K15" s="488" t="s">
        <v>251</v>
      </c>
      <c r="L15" s="488">
        <v>1070</v>
      </c>
      <c r="M15" s="488" t="s">
        <v>45</v>
      </c>
      <c r="N15" s="491">
        <f>J15+0.5</f>
        <v>63604.482400000001</v>
      </c>
      <c r="O15" s="510">
        <v>43019</v>
      </c>
      <c r="P15" s="493" t="s">
        <v>102</v>
      </c>
      <c r="Q15" s="493" t="s">
        <v>254</v>
      </c>
      <c r="R15" s="614" t="s">
        <v>45</v>
      </c>
      <c r="T15" s="476"/>
    </row>
    <row r="16" spans="2:20" ht="13.5" thickBot="1">
      <c r="B16" s="487">
        <v>43012</v>
      </c>
      <c r="C16" s="488" t="s">
        <v>208</v>
      </c>
      <c r="D16" s="489" t="s">
        <v>195</v>
      </c>
      <c r="E16" s="490">
        <v>29000</v>
      </c>
      <c r="F16" s="491">
        <v>1.4</v>
      </c>
      <c r="G16" s="491">
        <f t="shared" si="0"/>
        <v>40600</v>
      </c>
      <c r="H16" s="491">
        <f t="shared" si="1"/>
        <v>7308</v>
      </c>
      <c r="I16" s="491">
        <f t="shared" si="2"/>
        <v>479.08</v>
      </c>
      <c r="J16" s="491">
        <f t="shared" si="3"/>
        <v>48387.08</v>
      </c>
      <c r="K16" s="488" t="s">
        <v>251</v>
      </c>
      <c r="L16" s="488">
        <v>1072</v>
      </c>
      <c r="M16" s="488" t="s">
        <v>45</v>
      </c>
      <c r="N16" s="491">
        <f>J16+0.5</f>
        <v>48387.58</v>
      </c>
      <c r="O16" s="510">
        <v>43019</v>
      </c>
      <c r="P16" s="493" t="s">
        <v>102</v>
      </c>
      <c r="Q16" s="493" t="s">
        <v>254</v>
      </c>
      <c r="R16" s="614" t="s">
        <v>45</v>
      </c>
      <c r="T16" s="476"/>
    </row>
    <row r="17" spans="2:20" ht="13.5" thickBot="1">
      <c r="B17" s="487">
        <v>43017</v>
      </c>
      <c r="C17" s="488" t="s">
        <v>208</v>
      </c>
      <c r="D17" s="489" t="s">
        <v>195</v>
      </c>
      <c r="E17" s="490">
        <v>36280</v>
      </c>
      <c r="F17" s="491">
        <v>1.4</v>
      </c>
      <c r="G17" s="491">
        <f t="shared" si="0"/>
        <v>50792</v>
      </c>
      <c r="H17" s="491">
        <f t="shared" si="1"/>
        <v>9142.56</v>
      </c>
      <c r="I17" s="491">
        <f t="shared" si="2"/>
        <v>599.34559999999999</v>
      </c>
      <c r="J17" s="491">
        <f t="shared" si="3"/>
        <v>60533.905599999998</v>
      </c>
      <c r="K17" s="488" t="s">
        <v>251</v>
      </c>
      <c r="L17" s="488">
        <v>1091</v>
      </c>
      <c r="M17" s="488" t="s">
        <v>45</v>
      </c>
      <c r="N17" s="491">
        <f>J17+0.5</f>
        <v>60534.405599999998</v>
      </c>
      <c r="O17" s="510">
        <v>43032</v>
      </c>
      <c r="P17" s="493" t="s">
        <v>102</v>
      </c>
      <c r="Q17" s="493" t="s">
        <v>254</v>
      </c>
      <c r="R17" s="614" t="s">
        <v>45</v>
      </c>
      <c r="T17" s="476"/>
    </row>
    <row r="18" spans="2:20" ht="13.5" thickBot="1">
      <c r="B18" s="487">
        <v>43028</v>
      </c>
      <c r="C18" s="488" t="s">
        <v>208</v>
      </c>
      <c r="D18" s="489" t="s">
        <v>195</v>
      </c>
      <c r="E18" s="490">
        <v>38340</v>
      </c>
      <c r="F18" s="491">
        <v>1.4</v>
      </c>
      <c r="G18" s="491">
        <f t="shared" si="0"/>
        <v>53676</v>
      </c>
      <c r="H18" s="491">
        <f t="shared" si="1"/>
        <v>9661.68</v>
      </c>
      <c r="I18" s="491">
        <f t="shared" si="2"/>
        <v>633.3768</v>
      </c>
      <c r="J18" s="491">
        <f t="shared" si="3"/>
        <v>63971.056799999998</v>
      </c>
      <c r="K18" s="488" t="s">
        <v>251</v>
      </c>
      <c r="L18" s="488">
        <v>1153</v>
      </c>
      <c r="M18" s="517" t="s">
        <v>45</v>
      </c>
      <c r="N18" s="491">
        <f>+J18+0.5</f>
        <v>63971.556799999998</v>
      </c>
      <c r="O18" s="510">
        <v>43045</v>
      </c>
      <c r="P18" s="493" t="s">
        <v>102</v>
      </c>
      <c r="Q18" s="493" t="s">
        <v>254</v>
      </c>
      <c r="R18" s="614" t="s">
        <v>45</v>
      </c>
    </row>
    <row r="19" spans="2:20" ht="13.5" thickBot="1">
      <c r="B19" s="487">
        <v>43033</v>
      </c>
      <c r="C19" s="488" t="s">
        <v>208</v>
      </c>
      <c r="D19" s="489" t="s">
        <v>195</v>
      </c>
      <c r="E19" s="490">
        <v>37200</v>
      </c>
      <c r="F19" s="491">
        <v>1.4</v>
      </c>
      <c r="G19" s="491">
        <f t="shared" si="0"/>
        <v>52080</v>
      </c>
      <c r="H19" s="491">
        <f t="shared" si="1"/>
        <v>9374.4</v>
      </c>
      <c r="I19" s="491">
        <f t="shared" si="2"/>
        <v>614.54399999999998</v>
      </c>
      <c r="J19" s="491">
        <f t="shared" si="3"/>
        <v>62068.944000000003</v>
      </c>
      <c r="K19" s="488" t="s">
        <v>251</v>
      </c>
      <c r="L19" s="488">
        <v>1162</v>
      </c>
      <c r="M19" s="529" t="s">
        <v>45</v>
      </c>
      <c r="N19" s="491">
        <v>62068.944000000003</v>
      </c>
      <c r="O19" s="510">
        <v>43054</v>
      </c>
      <c r="P19" s="493" t="s">
        <v>102</v>
      </c>
      <c r="Q19" s="493" t="s">
        <v>254</v>
      </c>
      <c r="R19" s="614" t="s">
        <v>45</v>
      </c>
    </row>
    <row r="20" spans="2:20" ht="13.5" thickBot="1">
      <c r="B20" s="487">
        <v>43040</v>
      </c>
      <c r="C20" s="488" t="s">
        <v>208</v>
      </c>
      <c r="D20" s="489" t="s">
        <v>195</v>
      </c>
      <c r="E20" s="490">
        <v>36780</v>
      </c>
      <c r="F20" s="491">
        <v>1.4</v>
      </c>
      <c r="G20" s="491">
        <f t="shared" si="0"/>
        <v>51492</v>
      </c>
      <c r="H20" s="491">
        <f t="shared" si="1"/>
        <v>9268.56</v>
      </c>
      <c r="I20" s="491">
        <f t="shared" si="2"/>
        <v>607.60559999999998</v>
      </c>
      <c r="J20" s="491">
        <f t="shared" si="3"/>
        <v>61368.1656</v>
      </c>
      <c r="K20" s="488" t="s">
        <v>251</v>
      </c>
      <c r="L20" s="488">
        <v>1265</v>
      </c>
      <c r="M20" s="583" t="s">
        <v>45</v>
      </c>
      <c r="N20" s="491">
        <v>61368.165999999997</v>
      </c>
      <c r="O20" s="510">
        <v>43077</v>
      </c>
      <c r="P20" s="493" t="s">
        <v>102</v>
      </c>
      <c r="Q20" s="493" t="s">
        <v>254</v>
      </c>
      <c r="R20" s="614" t="s">
        <v>45</v>
      </c>
    </row>
    <row r="21" spans="2:20" ht="13.5" thickBot="1">
      <c r="B21" s="487">
        <v>43047</v>
      </c>
      <c r="C21" s="488" t="s">
        <v>208</v>
      </c>
      <c r="D21" s="489" t="s">
        <v>195</v>
      </c>
      <c r="E21" s="490">
        <v>32400</v>
      </c>
      <c r="F21" s="491">
        <v>1.4</v>
      </c>
      <c r="G21" s="491">
        <f t="shared" si="0"/>
        <v>45360</v>
      </c>
      <c r="H21" s="491">
        <f t="shared" si="1"/>
        <v>8164.7999999999993</v>
      </c>
      <c r="I21" s="491">
        <f t="shared" si="2"/>
        <v>535.24800000000005</v>
      </c>
      <c r="J21" s="491">
        <f t="shared" si="3"/>
        <v>54060.048000000003</v>
      </c>
      <c r="K21" s="488" t="s">
        <v>251</v>
      </c>
      <c r="L21" s="488">
        <v>1264</v>
      </c>
      <c r="M21" s="578" t="s">
        <v>45</v>
      </c>
      <c r="N21" s="491">
        <v>54060.548000000003</v>
      </c>
      <c r="O21" s="510">
        <v>43066</v>
      </c>
      <c r="P21" s="493" t="s">
        <v>102</v>
      </c>
      <c r="Q21" s="493" t="s">
        <v>254</v>
      </c>
      <c r="R21" s="614" t="s">
        <v>45</v>
      </c>
    </row>
    <row r="22" spans="2:20" ht="13.5" thickBot="1">
      <c r="B22" s="487">
        <v>43054</v>
      </c>
      <c r="C22" s="488" t="s">
        <v>208</v>
      </c>
      <c r="D22" s="489" t="s">
        <v>195</v>
      </c>
      <c r="E22" s="490">
        <v>38780</v>
      </c>
      <c r="F22" s="491">
        <v>1.4</v>
      </c>
      <c r="G22" s="491">
        <f t="shared" si="0"/>
        <v>54292</v>
      </c>
      <c r="H22" s="491">
        <f t="shared" si="1"/>
        <v>9772.56</v>
      </c>
      <c r="I22" s="491">
        <f t="shared" si="2"/>
        <v>640.64559999999994</v>
      </c>
      <c r="J22" s="491">
        <f t="shared" si="3"/>
        <v>64705.205600000001</v>
      </c>
      <c r="K22" s="488" t="s">
        <v>251</v>
      </c>
      <c r="L22" s="488">
        <v>1263</v>
      </c>
      <c r="M22" s="578" t="s">
        <v>45</v>
      </c>
      <c r="N22" s="491">
        <v>64705.705000000002</v>
      </c>
      <c r="O22" s="510">
        <v>43061</v>
      </c>
      <c r="P22" s="493" t="s">
        <v>102</v>
      </c>
      <c r="Q22" s="493" t="s">
        <v>254</v>
      </c>
      <c r="R22" s="614" t="s">
        <v>45</v>
      </c>
    </row>
    <row r="23" spans="2:20" s="475" customFormat="1" ht="13.5" thickBot="1">
      <c r="B23" s="487">
        <v>43068</v>
      </c>
      <c r="C23" s="488" t="s">
        <v>208</v>
      </c>
      <c r="D23" s="489" t="s">
        <v>195</v>
      </c>
      <c r="E23" s="490">
        <v>37720</v>
      </c>
      <c r="F23" s="491">
        <v>1.45</v>
      </c>
      <c r="G23" s="491">
        <f t="shared" si="0"/>
        <v>54694</v>
      </c>
      <c r="H23" s="491">
        <f t="shared" si="1"/>
        <v>9844.92</v>
      </c>
      <c r="I23" s="491">
        <f t="shared" si="2"/>
        <v>645.38919999999996</v>
      </c>
      <c r="J23" s="491">
        <f t="shared" si="3"/>
        <v>65184.309199999996</v>
      </c>
      <c r="K23" s="488" t="s">
        <v>251</v>
      </c>
      <c r="L23" s="488">
        <v>1359</v>
      </c>
      <c r="M23" s="585" t="s">
        <v>45</v>
      </c>
      <c r="N23" s="491">
        <v>65184.309000000001</v>
      </c>
      <c r="O23" s="510">
        <v>43089</v>
      </c>
      <c r="P23" s="493" t="s">
        <v>102</v>
      </c>
      <c r="Q23" s="493" t="s">
        <v>254</v>
      </c>
      <c r="R23" s="614" t="s">
        <v>45</v>
      </c>
    </row>
    <row r="24" spans="2:20" ht="13.5" thickBot="1">
      <c r="B24" s="487">
        <v>43076</v>
      </c>
      <c r="C24" s="488" t="s">
        <v>208</v>
      </c>
      <c r="D24" s="489" t="s">
        <v>195</v>
      </c>
      <c r="E24" s="490">
        <v>38200</v>
      </c>
      <c r="F24" s="491">
        <v>1.45</v>
      </c>
      <c r="G24" s="491">
        <f t="shared" si="0"/>
        <v>55390</v>
      </c>
      <c r="H24" s="491">
        <f t="shared" si="1"/>
        <v>9970.1999999999989</v>
      </c>
      <c r="I24" s="491">
        <f t="shared" si="2"/>
        <v>653.60199999999998</v>
      </c>
      <c r="J24" s="491">
        <f t="shared" si="3"/>
        <v>66013.801999999996</v>
      </c>
      <c r="K24" s="488" t="s">
        <v>251</v>
      </c>
      <c r="L24" s="488">
        <v>1358</v>
      </c>
      <c r="M24" s="489" t="s">
        <v>45</v>
      </c>
      <c r="N24" s="491">
        <v>66013.801999999996</v>
      </c>
      <c r="O24" s="510">
        <v>43087</v>
      </c>
      <c r="P24" s="493" t="s">
        <v>102</v>
      </c>
      <c r="Q24" s="488" t="s">
        <v>254</v>
      </c>
      <c r="R24" s="615" t="s">
        <v>45</v>
      </c>
    </row>
    <row r="25" spans="2:20" ht="13.5" thickBot="1">
      <c r="B25" s="487">
        <v>43094</v>
      </c>
      <c r="C25" s="488" t="s">
        <v>208</v>
      </c>
      <c r="D25" s="489" t="s">
        <v>195</v>
      </c>
      <c r="E25" s="490">
        <v>34360</v>
      </c>
      <c r="F25" s="491">
        <v>1.45</v>
      </c>
      <c r="G25" s="491">
        <f t="shared" si="0"/>
        <v>49822</v>
      </c>
      <c r="H25" s="491">
        <f t="shared" si="1"/>
        <v>8967.9599999999991</v>
      </c>
      <c r="I25" s="491">
        <f t="shared" si="2"/>
        <v>587.89959999999996</v>
      </c>
      <c r="J25" s="491">
        <f t="shared" si="3"/>
        <v>59377.859599999996</v>
      </c>
      <c r="K25" s="488" t="s">
        <v>251</v>
      </c>
      <c r="L25" s="488">
        <v>1434</v>
      </c>
      <c r="M25" s="489" t="s">
        <v>45</v>
      </c>
      <c r="N25" s="491">
        <v>59377.86</v>
      </c>
      <c r="O25" s="510">
        <v>43108</v>
      </c>
      <c r="P25" s="493" t="s">
        <v>102</v>
      </c>
      <c r="Q25" s="488" t="s">
        <v>254</v>
      </c>
      <c r="R25" s="615" t="s">
        <v>45</v>
      </c>
    </row>
    <row r="26" spans="2:20" ht="13.5" thickBot="1">
      <c r="B26" s="487">
        <v>43108</v>
      </c>
      <c r="C26" s="488" t="s">
        <v>208</v>
      </c>
      <c r="D26" s="489" t="s">
        <v>195</v>
      </c>
      <c r="E26" s="490">
        <v>38660</v>
      </c>
      <c r="F26" s="491">
        <v>1.5</v>
      </c>
      <c r="G26" s="491">
        <f t="shared" si="0"/>
        <v>57990</v>
      </c>
      <c r="H26" s="491">
        <f t="shared" ref="H26:H35" si="5">+G26*0.19</f>
        <v>11018.1</v>
      </c>
      <c r="I26" s="491">
        <f t="shared" si="2"/>
        <v>690.08100000000002</v>
      </c>
      <c r="J26" s="491">
        <f t="shared" ref="J26:J35" si="6">+H26+G26+I26+0.6</f>
        <v>69698.781000000017</v>
      </c>
      <c r="K26" s="488" t="s">
        <v>251</v>
      </c>
      <c r="L26" s="488">
        <v>1514</v>
      </c>
      <c r="M26" s="489" t="s">
        <v>45</v>
      </c>
      <c r="N26" s="491">
        <v>67375.508000000002</v>
      </c>
      <c r="O26" s="510">
        <v>43116</v>
      </c>
      <c r="P26" s="493" t="s">
        <v>102</v>
      </c>
      <c r="Q26" s="488" t="s">
        <v>254</v>
      </c>
      <c r="R26" s="615" t="s">
        <v>45</v>
      </c>
    </row>
    <row r="27" spans="2:20" ht="13.5" thickBot="1">
      <c r="B27" s="487">
        <v>43136</v>
      </c>
      <c r="C27" s="488" t="s">
        <v>208</v>
      </c>
      <c r="D27" s="489" t="s">
        <v>195</v>
      </c>
      <c r="E27" s="490">
        <v>34720</v>
      </c>
      <c r="F27" s="491">
        <v>1.55</v>
      </c>
      <c r="G27" s="491">
        <f t="shared" si="0"/>
        <v>53816</v>
      </c>
      <c r="H27" s="491">
        <f t="shared" si="5"/>
        <v>10225.040000000001</v>
      </c>
      <c r="I27" s="491">
        <f t="shared" si="2"/>
        <v>640.41039999999998</v>
      </c>
      <c r="J27" s="491">
        <f t="shared" si="6"/>
        <v>64682.0504</v>
      </c>
      <c r="K27" s="488" t="s">
        <v>251</v>
      </c>
      <c r="L27" s="488"/>
      <c r="M27" s="489"/>
      <c r="N27" s="491"/>
      <c r="O27" s="510"/>
      <c r="P27" s="493"/>
      <c r="Q27" s="488"/>
      <c r="R27" s="615"/>
    </row>
    <row r="28" spans="2:20" ht="13.5" thickBot="1">
      <c r="B28" s="487">
        <v>43164</v>
      </c>
      <c r="C28" s="488" t="s">
        <v>208</v>
      </c>
      <c r="D28" s="489" t="s">
        <v>195</v>
      </c>
      <c r="E28" s="490">
        <v>38740</v>
      </c>
      <c r="F28" s="491">
        <v>1.55</v>
      </c>
      <c r="G28" s="491">
        <f t="shared" si="0"/>
        <v>60047</v>
      </c>
      <c r="H28" s="491">
        <f t="shared" si="5"/>
        <v>11408.93</v>
      </c>
      <c r="I28" s="491">
        <f>(G28+H28)*1%</f>
        <v>714.55929999999989</v>
      </c>
      <c r="J28" s="491">
        <f t="shared" si="6"/>
        <v>72171.089299999992</v>
      </c>
      <c r="K28" s="488"/>
      <c r="L28" s="488"/>
      <c r="M28" s="489"/>
      <c r="N28" s="491"/>
      <c r="O28" s="510"/>
      <c r="P28" s="493"/>
      <c r="Q28" s="488"/>
      <c r="R28" s="615"/>
    </row>
    <row r="29" spans="2:20" ht="13.5" thickBot="1">
      <c r="B29" s="487">
        <v>43173</v>
      </c>
      <c r="C29" s="488" t="s">
        <v>208</v>
      </c>
      <c r="D29" s="489" t="s">
        <v>195</v>
      </c>
      <c r="E29" s="490">
        <v>36160</v>
      </c>
      <c r="F29" s="491">
        <v>1.55</v>
      </c>
      <c r="G29" s="491">
        <f t="shared" si="0"/>
        <v>56048</v>
      </c>
      <c r="H29" s="491">
        <f t="shared" si="5"/>
        <v>10649.12</v>
      </c>
      <c r="I29" s="491">
        <v>0</v>
      </c>
      <c r="J29" s="491">
        <f t="shared" si="6"/>
        <v>66697.72</v>
      </c>
      <c r="K29" s="488"/>
      <c r="L29" s="488"/>
      <c r="M29" s="489"/>
      <c r="N29" s="491"/>
      <c r="O29" s="510"/>
      <c r="P29" s="493"/>
      <c r="Q29" s="488"/>
      <c r="R29" s="615"/>
    </row>
    <row r="30" spans="2:20" ht="13.5" thickBot="1">
      <c r="B30" s="487">
        <v>43194</v>
      </c>
      <c r="C30" s="488" t="s">
        <v>208</v>
      </c>
      <c r="D30" s="489" t="s">
        <v>195</v>
      </c>
      <c r="E30" s="490">
        <v>38320</v>
      </c>
      <c r="F30" s="491">
        <v>1.55</v>
      </c>
      <c r="G30" s="491">
        <f t="shared" si="0"/>
        <v>59396</v>
      </c>
      <c r="H30" s="491">
        <f t="shared" si="5"/>
        <v>11285.24</v>
      </c>
      <c r="I30" s="491">
        <f>(G30+H30)*1%</f>
        <v>706.81240000000003</v>
      </c>
      <c r="J30" s="491">
        <f t="shared" si="6"/>
        <v>71388.652400000006</v>
      </c>
      <c r="K30" s="488"/>
      <c r="L30" s="488"/>
      <c r="M30" s="489"/>
      <c r="N30" s="491"/>
      <c r="O30" s="510"/>
      <c r="P30" s="493"/>
      <c r="Q30" s="488"/>
      <c r="R30" s="615"/>
    </row>
    <row r="31" spans="2:20" ht="13.5" thickBot="1">
      <c r="B31" s="487">
        <v>43217</v>
      </c>
      <c r="C31" s="488" t="s">
        <v>208</v>
      </c>
      <c r="D31" s="489" t="s">
        <v>195</v>
      </c>
      <c r="E31" s="490">
        <v>38200</v>
      </c>
      <c r="F31" s="491">
        <v>1.65</v>
      </c>
      <c r="G31" s="491">
        <f t="shared" si="0"/>
        <v>63030</v>
      </c>
      <c r="H31" s="491">
        <f t="shared" si="5"/>
        <v>11975.7</v>
      </c>
      <c r="I31" s="491">
        <f>(G31+H31)*1%</f>
        <v>750.05700000000002</v>
      </c>
      <c r="J31" s="491">
        <f t="shared" si="6"/>
        <v>75756.357000000004</v>
      </c>
      <c r="K31" s="488"/>
      <c r="L31" s="488"/>
      <c r="M31" s="489"/>
      <c r="N31" s="491"/>
      <c r="O31" s="510"/>
      <c r="P31" s="493"/>
      <c r="Q31" s="488"/>
      <c r="R31" s="615"/>
    </row>
    <row r="32" spans="2:20" ht="13.5" thickBot="1">
      <c r="B32" s="487">
        <v>43234</v>
      </c>
      <c r="C32" s="488" t="s">
        <v>208</v>
      </c>
      <c r="D32" s="489" t="s">
        <v>195</v>
      </c>
      <c r="E32" s="490">
        <v>32420</v>
      </c>
      <c r="F32" s="491">
        <v>1.65</v>
      </c>
      <c r="G32" s="491">
        <f t="shared" si="0"/>
        <v>53493</v>
      </c>
      <c r="H32" s="491">
        <f t="shared" si="5"/>
        <v>10163.67</v>
      </c>
      <c r="I32" s="491">
        <v>0</v>
      </c>
      <c r="J32" s="491">
        <f t="shared" si="6"/>
        <v>63657.27</v>
      </c>
      <c r="K32" s="488"/>
      <c r="L32" s="488"/>
      <c r="M32" s="489"/>
      <c r="N32" s="491"/>
      <c r="O32" s="510"/>
      <c r="P32" s="493"/>
      <c r="Q32" s="488"/>
      <c r="R32" s="615"/>
    </row>
    <row r="33" spans="2:18" ht="13.5" thickBot="1">
      <c r="B33" s="487">
        <v>43243</v>
      </c>
      <c r="C33" s="488" t="s">
        <v>208</v>
      </c>
      <c r="D33" s="489" t="s">
        <v>195</v>
      </c>
      <c r="E33" s="490">
        <v>37820</v>
      </c>
      <c r="F33" s="491">
        <v>1.65</v>
      </c>
      <c r="G33" s="491">
        <f t="shared" si="0"/>
        <v>62403</v>
      </c>
      <c r="H33" s="491">
        <f t="shared" si="5"/>
        <v>11856.57</v>
      </c>
      <c r="I33" s="491">
        <f>(G33+H33)*1%</f>
        <v>742.59570000000008</v>
      </c>
      <c r="J33" s="491">
        <f t="shared" si="6"/>
        <v>75002.765700000018</v>
      </c>
      <c r="K33" s="488"/>
      <c r="L33" s="488"/>
      <c r="M33" s="489"/>
      <c r="N33" s="491"/>
      <c r="O33" s="510"/>
      <c r="P33" s="493"/>
      <c r="Q33" s="488"/>
      <c r="R33" s="615"/>
    </row>
    <row r="34" spans="2:18">
      <c r="B34" s="507">
        <v>43258</v>
      </c>
      <c r="C34" s="473" t="s">
        <v>208</v>
      </c>
      <c r="D34" s="477" t="s">
        <v>195</v>
      </c>
      <c r="E34" s="508">
        <v>37040</v>
      </c>
      <c r="F34" s="474">
        <v>1.65</v>
      </c>
      <c r="G34" s="474">
        <f t="shared" si="0"/>
        <v>61116</v>
      </c>
      <c r="H34" s="474">
        <f t="shared" si="5"/>
        <v>11612.04</v>
      </c>
      <c r="I34" s="474">
        <f>(G34+H34)*1%</f>
        <v>727.2804000000001</v>
      </c>
      <c r="J34" s="474">
        <f t="shared" si="6"/>
        <v>73455.920400000017</v>
      </c>
    </row>
    <row r="35" spans="2:18">
      <c r="B35" s="507">
        <v>43256</v>
      </c>
      <c r="C35" s="473" t="s">
        <v>208</v>
      </c>
      <c r="D35" s="477" t="s">
        <v>195</v>
      </c>
      <c r="E35" s="508">
        <v>35740</v>
      </c>
      <c r="F35" s="474">
        <v>1.65</v>
      </c>
      <c r="G35" s="474">
        <f t="shared" si="0"/>
        <v>58971</v>
      </c>
      <c r="H35" s="474">
        <f t="shared" si="5"/>
        <v>11204.49</v>
      </c>
      <c r="I35" s="474">
        <v>0</v>
      </c>
      <c r="J35" s="474">
        <f t="shared" si="6"/>
        <v>70176.090000000011</v>
      </c>
    </row>
  </sheetData>
  <mergeCells count="10">
    <mergeCell ref="P12:P13"/>
    <mergeCell ref="Q12:Q13"/>
    <mergeCell ref="R12:R13"/>
    <mergeCell ref="M12:M13"/>
    <mergeCell ref="K3:L3"/>
    <mergeCell ref="K4:L4"/>
    <mergeCell ref="L12:L13"/>
    <mergeCell ref="K12:K13"/>
    <mergeCell ref="N12:N13"/>
    <mergeCell ref="O12:O13"/>
  </mergeCells>
  <pageMargins left="0" right="0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68"/>
  <sheetViews>
    <sheetView topLeftCell="A28" zoomScale="85" zoomScaleNormal="85" workbookViewId="0">
      <selection activeCell="M211" sqref="M211"/>
    </sheetView>
  </sheetViews>
  <sheetFormatPr baseColWidth="10" defaultRowHeight="12.75"/>
  <cols>
    <col min="1" max="1" width="1.5703125" style="473" customWidth="1"/>
    <col min="2" max="2" width="10.85546875" style="507" bestFit="1" customWidth="1"/>
    <col min="3" max="3" width="18.85546875" style="473" bestFit="1" customWidth="1"/>
    <col min="4" max="4" width="3.85546875" style="477" bestFit="1" customWidth="1"/>
    <col min="5" max="5" width="19.140625" style="508" bestFit="1" customWidth="1"/>
    <col min="6" max="7" width="11.7109375" style="474" bestFit="1" customWidth="1"/>
    <col min="8" max="8" width="10.28515625" style="474" bestFit="1" customWidth="1"/>
    <col min="9" max="9" width="11.28515625" style="474" bestFit="1" customWidth="1"/>
    <col min="10" max="10" width="9.5703125" style="473" bestFit="1" customWidth="1"/>
    <col min="11" max="11" width="12.42578125" style="473" bestFit="1" customWidth="1"/>
    <col min="12" max="12" width="7.5703125" style="477" bestFit="1" customWidth="1"/>
    <col min="13" max="13" width="11.28515625" style="474" bestFit="1" customWidth="1"/>
    <col min="14" max="14" width="10.28515625" style="509" bestFit="1" customWidth="1"/>
    <col min="15" max="15" width="9.42578125" style="478" bestFit="1" customWidth="1"/>
    <col min="16" max="16" width="11.7109375" style="486" bestFit="1" customWidth="1"/>
    <col min="17" max="17" width="12" style="478" bestFit="1" customWidth="1"/>
    <col min="18" max="16384" width="11.42578125" style="473"/>
  </cols>
  <sheetData>
    <row r="1" spans="2:18" s="472" customFormat="1" ht="26.25" thickBot="1">
      <c r="B1" s="453" t="s">
        <v>183</v>
      </c>
      <c r="C1" s="454" t="s">
        <v>184</v>
      </c>
      <c r="D1" s="454" t="s">
        <v>185</v>
      </c>
      <c r="E1" s="455" t="s">
        <v>186</v>
      </c>
      <c r="F1" s="456" t="s">
        <v>187</v>
      </c>
      <c r="G1" s="456" t="s">
        <v>189</v>
      </c>
      <c r="H1" s="456" t="s">
        <v>190</v>
      </c>
      <c r="I1" s="456" t="s">
        <v>191</v>
      </c>
      <c r="J1" s="454" t="s">
        <v>192</v>
      </c>
      <c r="K1" s="454" t="s">
        <v>193</v>
      </c>
      <c r="L1" s="454" t="s">
        <v>188</v>
      </c>
      <c r="M1" s="456" t="s">
        <v>11</v>
      </c>
      <c r="N1" s="457" t="s">
        <v>10</v>
      </c>
      <c r="O1" s="458" t="s">
        <v>194</v>
      </c>
      <c r="P1" s="458" t="s">
        <v>248</v>
      </c>
      <c r="Q1" s="471" t="s">
        <v>247</v>
      </c>
    </row>
    <row r="2" spans="2:18" s="475" customFormat="1" ht="13.5" thickBot="1">
      <c r="B2" s="487">
        <v>43007</v>
      </c>
      <c r="C2" s="488" t="s">
        <v>208</v>
      </c>
      <c r="D2" s="489" t="s">
        <v>250</v>
      </c>
      <c r="E2" s="490">
        <v>33960</v>
      </c>
      <c r="F2" s="491">
        <v>1.4</v>
      </c>
      <c r="G2" s="491">
        <f>E2*F2</f>
        <v>47544</v>
      </c>
      <c r="H2" s="491">
        <f>G2*0.18</f>
        <v>8557.92</v>
      </c>
      <c r="I2" s="491">
        <f>H2+G2</f>
        <v>56101.919999999998</v>
      </c>
      <c r="J2" s="488" t="s">
        <v>251</v>
      </c>
      <c r="K2" s="488">
        <v>4172</v>
      </c>
      <c r="L2" s="489" t="s">
        <v>46</v>
      </c>
      <c r="M2" s="491">
        <v>56102.42</v>
      </c>
      <c r="N2" s="492">
        <v>43019</v>
      </c>
      <c r="O2" s="493" t="s">
        <v>102</v>
      </c>
      <c r="P2" s="494" t="s">
        <v>252</v>
      </c>
      <c r="Q2" s="495" t="s">
        <v>46</v>
      </c>
      <c r="R2" s="476"/>
    </row>
    <row r="3" spans="2:18" s="475" customFormat="1" ht="13.5" thickBot="1">
      <c r="B3" s="487">
        <v>43011</v>
      </c>
      <c r="C3" s="488" t="s">
        <v>208</v>
      </c>
      <c r="D3" s="489" t="s">
        <v>250</v>
      </c>
      <c r="E3" s="490">
        <v>32880</v>
      </c>
      <c r="F3" s="491">
        <v>1.4</v>
      </c>
      <c r="G3" s="491">
        <f t="shared" ref="G3:G33" si="0">E3*F3</f>
        <v>46032</v>
      </c>
      <c r="H3" s="491">
        <f t="shared" ref="H3:H16" si="1">G3*0.18</f>
        <v>8285.76</v>
      </c>
      <c r="I3" s="491">
        <f t="shared" ref="I3:I13" si="2">H3+G3</f>
        <v>54317.760000000002</v>
      </c>
      <c r="J3" s="491" t="s">
        <v>251</v>
      </c>
      <c r="K3" s="488">
        <v>4192</v>
      </c>
      <c r="L3" s="489" t="s">
        <v>46</v>
      </c>
      <c r="M3" s="491">
        <v>54318.26</v>
      </c>
      <c r="N3" s="492">
        <v>43025</v>
      </c>
      <c r="O3" s="493" t="s">
        <v>102</v>
      </c>
      <c r="P3" s="494" t="s">
        <v>252</v>
      </c>
      <c r="Q3" s="495" t="s">
        <v>46</v>
      </c>
      <c r="R3" s="476"/>
    </row>
    <row r="4" spans="2:18" ht="13.5" thickBot="1">
      <c r="B4" s="487">
        <v>43017</v>
      </c>
      <c r="C4" s="488" t="s">
        <v>208</v>
      </c>
      <c r="D4" s="489" t="s">
        <v>250</v>
      </c>
      <c r="E4" s="490">
        <v>26280</v>
      </c>
      <c r="F4" s="491">
        <v>1.4</v>
      </c>
      <c r="G4" s="491">
        <f t="shared" si="0"/>
        <v>36792</v>
      </c>
      <c r="H4" s="491">
        <f t="shared" si="1"/>
        <v>6622.5599999999995</v>
      </c>
      <c r="I4" s="491">
        <f t="shared" si="2"/>
        <v>43414.559999999998</v>
      </c>
      <c r="J4" s="488" t="s">
        <v>251</v>
      </c>
      <c r="K4" s="488">
        <v>4213</v>
      </c>
      <c r="L4" s="489" t="s">
        <v>46</v>
      </c>
      <c r="M4" s="491">
        <v>43415.06</v>
      </c>
      <c r="N4" s="496">
        <v>43031</v>
      </c>
      <c r="O4" s="493" t="s">
        <v>102</v>
      </c>
      <c r="P4" s="494" t="s">
        <v>252</v>
      </c>
      <c r="Q4" s="495" t="s">
        <v>46</v>
      </c>
      <c r="R4" s="476"/>
    </row>
    <row r="5" spans="2:18" ht="13.5" thickBot="1">
      <c r="B5" s="487">
        <v>43019</v>
      </c>
      <c r="C5" s="488" t="s">
        <v>208</v>
      </c>
      <c r="D5" s="489" t="s">
        <v>250</v>
      </c>
      <c r="E5" s="490">
        <v>36890</v>
      </c>
      <c r="F5" s="491">
        <v>1.4</v>
      </c>
      <c r="G5" s="491">
        <f t="shared" si="0"/>
        <v>51646</v>
      </c>
      <c r="H5" s="491">
        <f t="shared" si="1"/>
        <v>9296.2799999999988</v>
      </c>
      <c r="I5" s="491">
        <f t="shared" si="2"/>
        <v>60942.28</v>
      </c>
      <c r="J5" s="488" t="s">
        <v>251</v>
      </c>
      <c r="K5" s="488">
        <v>1105</v>
      </c>
      <c r="L5" s="489" t="s">
        <v>45</v>
      </c>
      <c r="M5" s="491">
        <v>60942.78</v>
      </c>
      <c r="N5" s="496">
        <v>43033</v>
      </c>
      <c r="O5" s="493" t="s">
        <v>102</v>
      </c>
      <c r="P5" s="530" t="s">
        <v>252</v>
      </c>
      <c r="Q5" s="531" t="s">
        <v>45</v>
      </c>
      <c r="R5" s="476"/>
    </row>
    <row r="6" spans="2:18" ht="13.5" thickBot="1">
      <c r="B6" s="487">
        <v>43024</v>
      </c>
      <c r="C6" s="488" t="s">
        <v>208</v>
      </c>
      <c r="D6" s="489" t="s">
        <v>250</v>
      </c>
      <c r="E6" s="490">
        <v>32460</v>
      </c>
      <c r="F6" s="491">
        <v>1.4</v>
      </c>
      <c r="G6" s="491">
        <f t="shared" si="0"/>
        <v>45444</v>
      </c>
      <c r="H6" s="491">
        <f t="shared" si="1"/>
        <v>8179.92</v>
      </c>
      <c r="I6" s="491">
        <f t="shared" si="2"/>
        <v>53623.92</v>
      </c>
      <c r="J6" s="491" t="s">
        <v>251</v>
      </c>
      <c r="K6" s="488">
        <v>1124</v>
      </c>
      <c r="L6" s="489" t="s">
        <v>45</v>
      </c>
      <c r="M6" s="491">
        <v>53624.42</v>
      </c>
      <c r="N6" s="492">
        <v>43048</v>
      </c>
      <c r="O6" s="493" t="s">
        <v>102</v>
      </c>
      <c r="P6" s="530" t="s">
        <v>252</v>
      </c>
      <c r="Q6" s="531" t="s">
        <v>45</v>
      </c>
      <c r="R6" s="476"/>
    </row>
    <row r="7" spans="2:18" ht="13.5" thickBot="1">
      <c r="B7" s="487">
        <v>43027</v>
      </c>
      <c r="C7" s="488" t="s">
        <v>208</v>
      </c>
      <c r="D7" s="489" t="s">
        <v>250</v>
      </c>
      <c r="E7" s="490">
        <v>31480</v>
      </c>
      <c r="F7" s="491">
        <v>1.4</v>
      </c>
      <c r="G7" s="491">
        <f t="shared" si="0"/>
        <v>44072</v>
      </c>
      <c r="H7" s="491">
        <f t="shared" si="1"/>
        <v>7932.96</v>
      </c>
      <c r="I7" s="491">
        <f t="shared" si="2"/>
        <v>52004.959999999999</v>
      </c>
      <c r="J7" s="491" t="s">
        <v>251</v>
      </c>
      <c r="K7" s="488">
        <v>1118</v>
      </c>
      <c r="L7" s="489" t="s">
        <v>45</v>
      </c>
      <c r="M7" s="491">
        <v>52005.46</v>
      </c>
      <c r="N7" s="492">
        <v>43048</v>
      </c>
      <c r="O7" s="493" t="s">
        <v>102</v>
      </c>
      <c r="P7" s="530" t="s">
        <v>252</v>
      </c>
      <c r="Q7" s="531" t="s">
        <v>45</v>
      </c>
      <c r="R7" s="476"/>
    </row>
    <row r="8" spans="2:18" ht="13.5" thickBot="1">
      <c r="B8" s="487">
        <v>43031</v>
      </c>
      <c r="C8" s="488" t="s">
        <v>208</v>
      </c>
      <c r="D8" s="489" t="s">
        <v>250</v>
      </c>
      <c r="E8" s="490">
        <v>28600</v>
      </c>
      <c r="F8" s="491">
        <v>1.4</v>
      </c>
      <c r="G8" s="491">
        <f t="shared" si="0"/>
        <v>40040</v>
      </c>
      <c r="H8" s="491">
        <f t="shared" si="1"/>
        <v>7207.2</v>
      </c>
      <c r="I8" s="491">
        <f t="shared" si="2"/>
        <v>47247.199999999997</v>
      </c>
      <c r="J8" s="488" t="s">
        <v>251</v>
      </c>
      <c r="K8" s="488">
        <v>1196</v>
      </c>
      <c r="L8" s="489" t="s">
        <v>45</v>
      </c>
      <c r="M8" s="491">
        <f>+I8+0.5</f>
        <v>47247.7</v>
      </c>
      <c r="N8" s="492">
        <v>43055</v>
      </c>
      <c r="O8" s="493" t="s">
        <v>102</v>
      </c>
      <c r="P8" s="530" t="s">
        <v>252</v>
      </c>
      <c r="Q8" s="531" t="s">
        <v>45</v>
      </c>
      <c r="R8" s="476"/>
    </row>
    <row r="9" spans="2:18" ht="13.5" thickBot="1">
      <c r="B9" s="487">
        <v>43039</v>
      </c>
      <c r="C9" s="488" t="s">
        <v>208</v>
      </c>
      <c r="D9" s="489" t="s">
        <v>250</v>
      </c>
      <c r="E9" s="490">
        <v>32140</v>
      </c>
      <c r="F9" s="491">
        <v>1.4</v>
      </c>
      <c r="G9" s="491">
        <f t="shared" si="0"/>
        <v>44996</v>
      </c>
      <c r="H9" s="491">
        <f t="shared" si="1"/>
        <v>8099.28</v>
      </c>
      <c r="I9" s="491">
        <f t="shared" si="2"/>
        <v>53095.28</v>
      </c>
      <c r="J9" s="488" t="s">
        <v>251</v>
      </c>
      <c r="K9" s="488">
        <v>1198</v>
      </c>
      <c r="L9" s="489" t="s">
        <v>45</v>
      </c>
      <c r="M9" s="491">
        <f>+I9</f>
        <v>53095.28</v>
      </c>
      <c r="N9" s="496">
        <v>43073</v>
      </c>
      <c r="O9" s="493" t="s">
        <v>102</v>
      </c>
      <c r="P9" s="571" t="s">
        <v>252</v>
      </c>
      <c r="Q9" s="572" t="s">
        <v>45</v>
      </c>
      <c r="R9" s="476"/>
    </row>
    <row r="10" spans="2:18" ht="13.5" thickBot="1">
      <c r="B10" s="487">
        <v>43042</v>
      </c>
      <c r="C10" s="488" t="s">
        <v>208</v>
      </c>
      <c r="D10" s="489" t="s">
        <v>250</v>
      </c>
      <c r="E10" s="490">
        <v>35680</v>
      </c>
      <c r="F10" s="491">
        <v>1.4</v>
      </c>
      <c r="G10" s="491">
        <f t="shared" si="0"/>
        <v>49952</v>
      </c>
      <c r="H10" s="491">
        <f t="shared" si="1"/>
        <v>8991.3599999999988</v>
      </c>
      <c r="I10" s="491">
        <f t="shared" si="2"/>
        <v>58943.360000000001</v>
      </c>
      <c r="J10" s="488" t="s">
        <v>251</v>
      </c>
      <c r="K10" s="488">
        <v>1197</v>
      </c>
      <c r="L10" s="489" t="s">
        <v>45</v>
      </c>
      <c r="M10" s="491">
        <v>58943.86</v>
      </c>
      <c r="N10" s="496">
        <v>43066</v>
      </c>
      <c r="O10" s="493" t="s">
        <v>102</v>
      </c>
      <c r="P10" s="566" t="s">
        <v>252</v>
      </c>
      <c r="Q10" s="567" t="s">
        <v>45</v>
      </c>
      <c r="R10" s="476"/>
    </row>
    <row r="11" spans="2:18" ht="13.5" thickBot="1">
      <c r="B11" s="487">
        <v>43045</v>
      </c>
      <c r="C11" s="488" t="s">
        <v>208</v>
      </c>
      <c r="D11" s="489" t="s">
        <v>250</v>
      </c>
      <c r="E11" s="490">
        <v>32420</v>
      </c>
      <c r="F11" s="491">
        <v>1.4</v>
      </c>
      <c r="G11" s="491">
        <f t="shared" si="0"/>
        <v>45388</v>
      </c>
      <c r="H11" s="491">
        <f t="shared" si="1"/>
        <v>8169.84</v>
      </c>
      <c r="I11" s="491">
        <f t="shared" si="2"/>
        <v>53557.84</v>
      </c>
      <c r="J11" s="488" t="s">
        <v>251</v>
      </c>
      <c r="K11" s="488">
        <v>1195</v>
      </c>
      <c r="L11" s="489" t="s">
        <v>45</v>
      </c>
      <c r="M11" s="491">
        <v>53558.34</v>
      </c>
      <c r="N11" s="496">
        <v>43062</v>
      </c>
      <c r="O11" s="493" t="s">
        <v>102</v>
      </c>
      <c r="P11" s="566" t="s">
        <v>252</v>
      </c>
      <c r="Q11" s="567" t="s">
        <v>45</v>
      </c>
      <c r="R11" s="476"/>
    </row>
    <row r="12" spans="2:18" ht="13.5" thickBot="1">
      <c r="B12" s="487">
        <v>43049</v>
      </c>
      <c r="C12" s="488" t="s">
        <v>208</v>
      </c>
      <c r="D12" s="489" t="s">
        <v>250</v>
      </c>
      <c r="E12" s="490">
        <v>35260</v>
      </c>
      <c r="F12" s="491">
        <v>1.4</v>
      </c>
      <c r="G12" s="491">
        <f t="shared" si="0"/>
        <v>49364</v>
      </c>
      <c r="H12" s="491">
        <f t="shared" si="1"/>
        <v>8885.52</v>
      </c>
      <c r="I12" s="491">
        <f t="shared" si="2"/>
        <v>58249.520000000004</v>
      </c>
      <c r="J12" s="488" t="s">
        <v>251</v>
      </c>
      <c r="K12" s="488">
        <v>1311</v>
      </c>
      <c r="L12" s="489" t="s">
        <v>45</v>
      </c>
      <c r="M12" s="491">
        <v>58250.02</v>
      </c>
      <c r="N12" s="496">
        <v>43076</v>
      </c>
      <c r="O12" s="493" t="s">
        <v>102</v>
      </c>
      <c r="P12" s="576" t="s">
        <v>252</v>
      </c>
      <c r="Q12" s="577" t="s">
        <v>45</v>
      </c>
      <c r="R12" s="476"/>
    </row>
    <row r="13" spans="2:18" ht="13.5" thickBot="1">
      <c r="B13" s="487">
        <v>43056</v>
      </c>
      <c r="C13" s="488" t="s">
        <v>208</v>
      </c>
      <c r="D13" s="489" t="s">
        <v>250</v>
      </c>
      <c r="E13" s="490">
        <v>33980</v>
      </c>
      <c r="F13" s="491">
        <v>1.4</v>
      </c>
      <c r="G13" s="491">
        <f t="shared" si="0"/>
        <v>47572</v>
      </c>
      <c r="H13" s="491">
        <f t="shared" si="1"/>
        <v>8562.9599999999991</v>
      </c>
      <c r="I13" s="491">
        <f t="shared" si="2"/>
        <v>56134.96</v>
      </c>
      <c r="J13" s="488" t="s">
        <v>251</v>
      </c>
      <c r="K13" s="488">
        <v>1312</v>
      </c>
      <c r="L13" s="489" t="s">
        <v>45</v>
      </c>
      <c r="M13" s="491">
        <v>56135.46</v>
      </c>
      <c r="N13" s="496">
        <v>43080</v>
      </c>
      <c r="O13" s="493" t="s">
        <v>102</v>
      </c>
      <c r="P13" s="581" t="s">
        <v>252</v>
      </c>
      <c r="Q13" s="582" t="s">
        <v>45</v>
      </c>
      <c r="R13" s="476"/>
    </row>
    <row r="14" spans="2:18" ht="13.5" thickBot="1">
      <c r="B14" s="487">
        <v>43076</v>
      </c>
      <c r="C14" s="488" t="s">
        <v>208</v>
      </c>
      <c r="D14" s="489" t="s">
        <v>250</v>
      </c>
      <c r="E14" s="490">
        <v>34560</v>
      </c>
      <c r="F14" s="491">
        <v>1.45</v>
      </c>
      <c r="G14" s="491">
        <f t="shared" si="0"/>
        <v>50112</v>
      </c>
      <c r="H14" s="491">
        <f t="shared" si="1"/>
        <v>9020.16</v>
      </c>
      <c r="I14" s="491">
        <f>H14+G14+0.5</f>
        <v>59132.66</v>
      </c>
      <c r="J14" s="488" t="s">
        <v>251</v>
      </c>
      <c r="K14" s="488">
        <v>1408</v>
      </c>
      <c r="L14" s="489" t="s">
        <v>45</v>
      </c>
      <c r="M14" s="491">
        <v>59132.66</v>
      </c>
      <c r="N14" s="496">
        <v>43094</v>
      </c>
      <c r="O14" s="493" t="s">
        <v>102</v>
      </c>
      <c r="P14" s="613" t="s">
        <v>252</v>
      </c>
      <c r="Q14" s="579" t="s">
        <v>45</v>
      </c>
      <c r="R14" s="476"/>
    </row>
    <row r="15" spans="2:18" ht="13.5" thickBot="1">
      <c r="B15" s="487">
        <v>43090</v>
      </c>
      <c r="C15" s="488" t="s">
        <v>208</v>
      </c>
      <c r="D15" s="489" t="s">
        <v>250</v>
      </c>
      <c r="E15" s="490">
        <v>34160</v>
      </c>
      <c r="F15" s="491">
        <v>1.45</v>
      </c>
      <c r="G15" s="491">
        <f t="shared" si="0"/>
        <v>49532</v>
      </c>
      <c r="H15" s="491">
        <f t="shared" si="1"/>
        <v>8915.76</v>
      </c>
      <c r="I15" s="491">
        <f>H15+G15+0.5</f>
        <v>58448.26</v>
      </c>
      <c r="J15" s="488" t="s">
        <v>251</v>
      </c>
      <c r="K15" s="488">
        <v>1435</v>
      </c>
      <c r="L15" s="489" t="s">
        <v>45</v>
      </c>
      <c r="M15" s="491">
        <v>58448.26</v>
      </c>
      <c r="N15" s="496"/>
      <c r="O15" s="493" t="s">
        <v>102</v>
      </c>
      <c r="P15" s="613" t="s">
        <v>252</v>
      </c>
      <c r="Q15" s="579" t="s">
        <v>45</v>
      </c>
      <c r="R15" s="476"/>
    </row>
    <row r="16" spans="2:18" ht="13.5" thickBot="1">
      <c r="B16" s="487">
        <v>43094</v>
      </c>
      <c r="C16" s="488" t="s">
        <v>208</v>
      </c>
      <c r="D16" s="489" t="s">
        <v>250</v>
      </c>
      <c r="E16" s="490">
        <v>34280</v>
      </c>
      <c r="F16" s="491">
        <v>1.45</v>
      </c>
      <c r="G16" s="491">
        <f t="shared" si="0"/>
        <v>49706</v>
      </c>
      <c r="H16" s="491">
        <f t="shared" si="1"/>
        <v>8947.08</v>
      </c>
      <c r="I16" s="491">
        <f>H16+G16+0.5</f>
        <v>58653.58</v>
      </c>
      <c r="J16" s="488" t="s">
        <v>251</v>
      </c>
      <c r="K16" s="488">
        <v>1474</v>
      </c>
      <c r="L16" s="489" t="s">
        <v>45</v>
      </c>
      <c r="M16" s="491">
        <v>58653.58</v>
      </c>
      <c r="N16" s="496"/>
      <c r="O16" s="493" t="s">
        <v>102</v>
      </c>
      <c r="P16" s="613" t="s">
        <v>252</v>
      </c>
      <c r="Q16" s="579" t="s">
        <v>45</v>
      </c>
      <c r="R16" s="476"/>
    </row>
    <row r="17" spans="2:18" ht="13.5" thickBot="1">
      <c r="B17" s="487">
        <v>43103</v>
      </c>
      <c r="C17" s="488" t="s">
        <v>208</v>
      </c>
      <c r="D17" s="489" t="s">
        <v>250</v>
      </c>
      <c r="E17" s="490">
        <v>34440</v>
      </c>
      <c r="F17" s="491">
        <v>1.5</v>
      </c>
      <c r="G17" s="491">
        <f t="shared" si="0"/>
        <v>51660</v>
      </c>
      <c r="H17" s="491">
        <f>G17*0.19</f>
        <v>9815.4</v>
      </c>
      <c r="I17" s="491">
        <f>G17+H17+0.6</f>
        <v>61476</v>
      </c>
      <c r="J17" s="488"/>
      <c r="K17" s="488"/>
      <c r="L17" s="489"/>
      <c r="M17" s="491"/>
      <c r="N17" s="496"/>
      <c r="O17" s="493"/>
      <c r="P17" s="629"/>
      <c r="Q17" s="579"/>
      <c r="R17" s="476"/>
    </row>
    <row r="18" spans="2:18" ht="13.5" thickBot="1">
      <c r="B18" s="487">
        <v>43111</v>
      </c>
      <c r="C18" s="488" t="s">
        <v>208</v>
      </c>
      <c r="D18" s="489" t="s">
        <v>250</v>
      </c>
      <c r="E18" s="490">
        <v>34920</v>
      </c>
      <c r="F18" s="491">
        <v>1.5</v>
      </c>
      <c r="G18" s="491">
        <f t="shared" si="0"/>
        <v>52380</v>
      </c>
      <c r="H18" s="491">
        <f t="shared" ref="H18:H33" si="3">G18*0.19</f>
        <v>9952.2000000000007</v>
      </c>
      <c r="I18" s="491">
        <f t="shared" ref="I18:I33" si="4">G18+H18+0.6</f>
        <v>62332.799999999996</v>
      </c>
      <c r="J18" s="488"/>
      <c r="K18" s="488"/>
      <c r="L18" s="489"/>
      <c r="M18" s="491"/>
      <c r="N18" s="496"/>
      <c r="O18" s="493"/>
      <c r="P18" s="629"/>
      <c r="Q18" s="579"/>
      <c r="R18" s="476"/>
    </row>
    <row r="19" spans="2:18" ht="13.5" thickBot="1">
      <c r="B19" s="487">
        <v>43115</v>
      </c>
      <c r="C19" s="488" t="s">
        <v>208</v>
      </c>
      <c r="D19" s="489" t="s">
        <v>250</v>
      </c>
      <c r="E19" s="490">
        <v>32600</v>
      </c>
      <c r="F19" s="491">
        <v>1.55</v>
      </c>
      <c r="G19" s="491">
        <f t="shared" si="0"/>
        <v>50530</v>
      </c>
      <c r="H19" s="491">
        <f t="shared" si="3"/>
        <v>9600.7000000000007</v>
      </c>
      <c r="I19" s="491">
        <f t="shared" si="4"/>
        <v>60131.299999999996</v>
      </c>
      <c r="J19" s="488"/>
      <c r="K19" s="488"/>
      <c r="L19" s="489"/>
      <c r="M19" s="491"/>
      <c r="N19" s="496"/>
      <c r="O19" s="493"/>
      <c r="P19" s="629"/>
      <c r="Q19" s="579"/>
      <c r="R19" s="476"/>
    </row>
    <row r="20" spans="2:18" ht="13.5" thickBot="1">
      <c r="B20" s="487">
        <v>43118</v>
      </c>
      <c r="C20" s="488" t="s">
        <v>208</v>
      </c>
      <c r="D20" s="489" t="s">
        <v>250</v>
      </c>
      <c r="E20" s="490">
        <v>33800</v>
      </c>
      <c r="F20" s="491">
        <v>1.55</v>
      </c>
      <c r="G20" s="491">
        <f t="shared" si="0"/>
        <v>52390</v>
      </c>
      <c r="H20" s="491">
        <f t="shared" si="3"/>
        <v>9954.1</v>
      </c>
      <c r="I20" s="491">
        <f t="shared" si="4"/>
        <v>62344.7</v>
      </c>
      <c r="J20" s="488"/>
      <c r="K20" s="488"/>
      <c r="L20" s="489"/>
      <c r="M20" s="491"/>
      <c r="N20" s="496"/>
      <c r="O20" s="493"/>
      <c r="P20" s="629"/>
      <c r="Q20" s="579"/>
      <c r="R20" s="476"/>
    </row>
    <row r="21" spans="2:18" ht="13.5" thickBot="1">
      <c r="B21" s="487">
        <v>43122</v>
      </c>
      <c r="C21" s="488" t="s">
        <v>208</v>
      </c>
      <c r="D21" s="489" t="s">
        <v>250</v>
      </c>
      <c r="E21" s="490">
        <v>37600</v>
      </c>
      <c r="F21" s="491">
        <v>1.55</v>
      </c>
      <c r="G21" s="491">
        <f t="shared" si="0"/>
        <v>58280</v>
      </c>
      <c r="H21" s="491">
        <f t="shared" si="3"/>
        <v>11073.2</v>
      </c>
      <c r="I21" s="491">
        <f t="shared" si="4"/>
        <v>69353.8</v>
      </c>
      <c r="J21" s="488"/>
      <c r="K21" s="488"/>
      <c r="L21" s="489"/>
      <c r="M21" s="491"/>
      <c r="N21" s="496"/>
      <c r="O21" s="493"/>
      <c r="P21" s="791"/>
      <c r="Q21" s="579"/>
      <c r="R21" s="476"/>
    </row>
    <row r="22" spans="2:18" ht="13.5" thickBot="1">
      <c r="B22" s="487">
        <v>43125</v>
      </c>
      <c r="C22" s="488" t="s">
        <v>208</v>
      </c>
      <c r="D22" s="489" t="s">
        <v>250</v>
      </c>
      <c r="E22" s="490">
        <v>36280</v>
      </c>
      <c r="F22" s="491">
        <v>1.55</v>
      </c>
      <c r="G22" s="491">
        <f t="shared" si="0"/>
        <v>56234</v>
      </c>
      <c r="H22" s="491">
        <f t="shared" si="3"/>
        <v>10684.460000000001</v>
      </c>
      <c r="I22" s="491">
        <f t="shared" si="4"/>
        <v>66919.060000000012</v>
      </c>
      <c r="J22" s="488"/>
      <c r="K22" s="488"/>
      <c r="L22" s="489"/>
      <c r="M22" s="491"/>
      <c r="N22" s="496"/>
      <c r="O22" s="493"/>
      <c r="P22" s="791"/>
      <c r="Q22" s="579"/>
      <c r="R22" s="476"/>
    </row>
    <row r="23" spans="2:18" ht="13.5" thickBot="1">
      <c r="B23" s="487">
        <v>43129</v>
      </c>
      <c r="C23" s="488" t="s">
        <v>208</v>
      </c>
      <c r="D23" s="489" t="s">
        <v>250</v>
      </c>
      <c r="E23" s="490">
        <v>38240</v>
      </c>
      <c r="F23" s="491">
        <v>1.55</v>
      </c>
      <c r="G23" s="491">
        <f t="shared" si="0"/>
        <v>59272</v>
      </c>
      <c r="H23" s="491">
        <f t="shared" si="3"/>
        <v>11261.68</v>
      </c>
      <c r="I23" s="491">
        <f t="shared" si="4"/>
        <v>70534.28</v>
      </c>
      <c r="J23" s="488"/>
      <c r="K23" s="488"/>
      <c r="L23" s="489"/>
      <c r="M23" s="491"/>
      <c r="N23" s="496"/>
      <c r="O23" s="493"/>
      <c r="P23" s="791"/>
      <c r="Q23" s="579"/>
      <c r="R23" s="476"/>
    </row>
    <row r="24" spans="2:18" ht="13.5" thickBot="1">
      <c r="B24" s="487">
        <v>43133</v>
      </c>
      <c r="C24" s="488" t="s">
        <v>208</v>
      </c>
      <c r="D24" s="489" t="s">
        <v>250</v>
      </c>
      <c r="E24" s="490">
        <v>35580</v>
      </c>
      <c r="F24" s="491">
        <v>1.55</v>
      </c>
      <c r="G24" s="491">
        <f t="shared" si="0"/>
        <v>55149</v>
      </c>
      <c r="H24" s="491">
        <f t="shared" si="3"/>
        <v>10478.31</v>
      </c>
      <c r="I24" s="491">
        <f t="shared" si="4"/>
        <v>65627.91</v>
      </c>
      <c r="J24" s="488"/>
      <c r="K24" s="488"/>
      <c r="L24" s="489"/>
      <c r="M24" s="491"/>
      <c r="N24" s="496"/>
      <c r="O24" s="493"/>
      <c r="P24" s="791"/>
      <c r="Q24" s="579"/>
      <c r="R24" s="476"/>
    </row>
    <row r="25" spans="2:18" ht="13.5" thickBot="1">
      <c r="B25" s="487">
        <v>42766</v>
      </c>
      <c r="C25" s="488" t="s">
        <v>198</v>
      </c>
      <c r="D25" s="489" t="s">
        <v>250</v>
      </c>
      <c r="E25" s="490">
        <v>531</v>
      </c>
      <c r="F25" s="491">
        <v>32</v>
      </c>
      <c r="G25" s="491">
        <f t="shared" si="0"/>
        <v>16992</v>
      </c>
      <c r="H25" s="491">
        <f t="shared" si="3"/>
        <v>3228.48</v>
      </c>
      <c r="I25" s="491">
        <f t="shared" si="4"/>
        <v>20221.079999999998</v>
      </c>
      <c r="J25" s="488"/>
      <c r="K25" s="488"/>
      <c r="L25" s="489"/>
      <c r="M25" s="491"/>
      <c r="N25" s="496"/>
      <c r="O25" s="493"/>
      <c r="P25" s="791"/>
      <c r="Q25" s="579"/>
      <c r="R25" s="476"/>
    </row>
    <row r="26" spans="2:18" ht="13.5" thickBot="1">
      <c r="B26" s="487">
        <v>43136</v>
      </c>
      <c r="C26" s="488" t="s">
        <v>208</v>
      </c>
      <c r="D26" s="489" t="s">
        <v>250</v>
      </c>
      <c r="E26" s="490">
        <v>36360</v>
      </c>
      <c r="F26" s="491">
        <v>1.55</v>
      </c>
      <c r="G26" s="491">
        <f>E26*F26</f>
        <v>56358</v>
      </c>
      <c r="H26" s="491">
        <f>G26*0.19</f>
        <v>10708.02</v>
      </c>
      <c r="I26" s="491">
        <f>G26+H26+0.6</f>
        <v>67066.62000000001</v>
      </c>
      <c r="J26" s="488"/>
      <c r="K26" s="488"/>
      <c r="L26" s="489"/>
      <c r="M26" s="491"/>
      <c r="N26" s="496"/>
      <c r="O26" s="493"/>
      <c r="P26" s="791"/>
      <c r="Q26" s="579"/>
      <c r="R26" s="476"/>
    </row>
    <row r="27" spans="2:18" ht="13.5" thickBot="1">
      <c r="B27" s="487">
        <v>43140</v>
      </c>
      <c r="C27" s="488" t="s">
        <v>208</v>
      </c>
      <c r="D27" s="489" t="s">
        <v>250</v>
      </c>
      <c r="E27" s="490">
        <v>33100</v>
      </c>
      <c r="F27" s="491">
        <v>1.55</v>
      </c>
      <c r="G27" s="491">
        <f t="shared" si="0"/>
        <v>51305</v>
      </c>
      <c r="H27" s="491">
        <f t="shared" si="3"/>
        <v>9747.9500000000007</v>
      </c>
      <c r="I27" s="491">
        <f t="shared" si="4"/>
        <v>61053.549999999996</v>
      </c>
      <c r="J27" s="488"/>
      <c r="K27" s="488"/>
      <c r="L27" s="489"/>
      <c r="M27" s="491"/>
      <c r="N27" s="496"/>
      <c r="O27" s="493"/>
      <c r="P27" s="791"/>
      <c r="Q27" s="579"/>
      <c r="R27" s="476"/>
    </row>
    <row r="28" spans="2:18" ht="13.5" thickBot="1">
      <c r="B28" s="487">
        <v>43146</v>
      </c>
      <c r="C28" s="488" t="s">
        <v>208</v>
      </c>
      <c r="D28" s="489" t="s">
        <v>250</v>
      </c>
      <c r="E28" s="490">
        <v>31860</v>
      </c>
      <c r="F28" s="491">
        <v>1.55</v>
      </c>
      <c r="G28" s="491">
        <f t="shared" si="0"/>
        <v>49383</v>
      </c>
      <c r="H28" s="491">
        <f t="shared" si="3"/>
        <v>9382.77</v>
      </c>
      <c r="I28" s="491">
        <f t="shared" si="4"/>
        <v>58766.37</v>
      </c>
      <c r="J28" s="488"/>
      <c r="K28" s="488"/>
      <c r="L28" s="489"/>
      <c r="M28" s="491"/>
      <c r="N28" s="496"/>
      <c r="O28" s="493"/>
      <c r="P28" s="791"/>
      <c r="Q28" s="579"/>
      <c r="R28" s="476"/>
    </row>
    <row r="29" spans="2:18" ht="13.5" thickBot="1">
      <c r="B29" s="487">
        <v>43147</v>
      </c>
      <c r="C29" s="488" t="s">
        <v>208</v>
      </c>
      <c r="D29" s="489" t="s">
        <v>250</v>
      </c>
      <c r="E29" s="490">
        <v>34120</v>
      </c>
      <c r="F29" s="491">
        <v>1.55</v>
      </c>
      <c r="G29" s="491">
        <f t="shared" si="0"/>
        <v>52886</v>
      </c>
      <c r="H29" s="491">
        <f t="shared" si="3"/>
        <v>10048.34</v>
      </c>
      <c r="I29" s="491">
        <f t="shared" si="4"/>
        <v>62934.939999999995</v>
      </c>
      <c r="J29" s="488"/>
      <c r="K29" s="488"/>
      <c r="L29" s="489"/>
      <c r="M29" s="491"/>
      <c r="N29" s="496"/>
      <c r="O29" s="493"/>
      <c r="P29" s="791"/>
      <c r="Q29" s="579"/>
      <c r="R29" s="476"/>
    </row>
    <row r="30" spans="2:18" ht="13.5" thickBot="1">
      <c r="B30" s="487">
        <v>43153</v>
      </c>
      <c r="C30" s="488" t="s">
        <v>208</v>
      </c>
      <c r="D30" s="489" t="s">
        <v>250</v>
      </c>
      <c r="E30" s="490">
        <v>34560</v>
      </c>
      <c r="F30" s="491">
        <v>1.55</v>
      </c>
      <c r="G30" s="491">
        <f t="shared" si="0"/>
        <v>53568</v>
      </c>
      <c r="H30" s="491">
        <f t="shared" si="3"/>
        <v>10177.92</v>
      </c>
      <c r="I30" s="491">
        <f t="shared" si="4"/>
        <v>63746.52</v>
      </c>
      <c r="J30" s="488"/>
      <c r="K30" s="488"/>
      <c r="L30" s="489"/>
      <c r="M30" s="491"/>
      <c r="N30" s="496"/>
      <c r="O30" s="493"/>
      <c r="P30" s="791"/>
      <c r="Q30" s="579"/>
      <c r="R30" s="476"/>
    </row>
    <row r="31" spans="2:18" ht="13.5" thickBot="1">
      <c r="B31" s="487">
        <v>43157</v>
      </c>
      <c r="C31" s="488" t="s">
        <v>208</v>
      </c>
      <c r="D31" s="489" t="s">
        <v>250</v>
      </c>
      <c r="E31" s="490">
        <v>35060</v>
      </c>
      <c r="F31" s="491">
        <v>1.55</v>
      </c>
      <c r="G31" s="491">
        <f t="shared" si="0"/>
        <v>54343</v>
      </c>
      <c r="H31" s="491">
        <f t="shared" si="3"/>
        <v>10325.17</v>
      </c>
      <c r="I31" s="491">
        <f t="shared" si="4"/>
        <v>64668.77</v>
      </c>
      <c r="J31" s="488"/>
      <c r="K31" s="488"/>
      <c r="L31" s="489"/>
      <c r="M31" s="491"/>
      <c r="N31" s="496"/>
      <c r="O31" s="493"/>
      <c r="P31" s="791"/>
      <c r="Q31" s="579"/>
      <c r="R31" s="476"/>
    </row>
    <row r="32" spans="2:18" ht="13.5" thickBot="1">
      <c r="B32" s="487">
        <v>43161</v>
      </c>
      <c r="C32" s="488" t="s">
        <v>208</v>
      </c>
      <c r="D32" s="489" t="s">
        <v>250</v>
      </c>
      <c r="E32" s="490">
        <v>30673</v>
      </c>
      <c r="F32" s="491">
        <v>1.7</v>
      </c>
      <c r="G32" s="491">
        <f t="shared" si="0"/>
        <v>52144.1</v>
      </c>
      <c r="H32" s="491">
        <f t="shared" si="3"/>
        <v>9907.378999999999</v>
      </c>
      <c r="I32" s="491">
        <f t="shared" si="4"/>
        <v>62052.078999999998</v>
      </c>
      <c r="J32" s="488"/>
      <c r="K32" s="488"/>
      <c r="L32" s="489"/>
      <c r="M32" s="491"/>
      <c r="N32" s="496"/>
      <c r="O32" s="488"/>
      <c r="P32" s="489"/>
      <c r="Q32" s="792"/>
      <c r="R32" s="476"/>
    </row>
    <row r="33" spans="2:20" ht="13.5" thickBot="1">
      <c r="B33" s="487">
        <v>43161</v>
      </c>
      <c r="C33" s="488" t="s">
        <v>197</v>
      </c>
      <c r="D33" s="489" t="s">
        <v>250</v>
      </c>
      <c r="E33" s="490">
        <v>3127</v>
      </c>
      <c r="F33" s="491">
        <v>4.4000000000000004</v>
      </c>
      <c r="G33" s="491">
        <f t="shared" si="0"/>
        <v>13758.800000000001</v>
      </c>
      <c r="H33" s="491">
        <f t="shared" si="3"/>
        <v>2614.172</v>
      </c>
      <c r="I33" s="491">
        <f t="shared" si="4"/>
        <v>16373.572000000002</v>
      </c>
      <c r="J33" s="488"/>
      <c r="K33" s="488"/>
      <c r="L33" s="489"/>
      <c r="M33" s="491"/>
      <c r="N33" s="496"/>
      <c r="O33" s="488"/>
      <c r="P33" s="489"/>
      <c r="Q33" s="792"/>
      <c r="R33" s="476"/>
    </row>
    <row r="34" spans="2:20" ht="13.5" thickBot="1">
      <c r="B34" s="487">
        <v>43166</v>
      </c>
      <c r="C34" s="488" t="s">
        <v>208</v>
      </c>
      <c r="D34" s="489" t="s">
        <v>250</v>
      </c>
      <c r="E34" s="490">
        <v>32440</v>
      </c>
      <c r="F34" s="491">
        <v>1.7</v>
      </c>
      <c r="G34" s="491">
        <f t="shared" ref="G34:G52" si="5">E34*F34</f>
        <v>55148</v>
      </c>
      <c r="H34" s="491">
        <f t="shared" ref="H34:H52" si="6">G34*0.19</f>
        <v>10478.120000000001</v>
      </c>
      <c r="I34" s="491">
        <f t="shared" ref="I34:I52" si="7">G34+H34+0.6</f>
        <v>65626.720000000001</v>
      </c>
      <c r="J34" s="488"/>
      <c r="K34" s="488"/>
      <c r="L34" s="489"/>
      <c r="M34" s="491"/>
      <c r="N34" s="496"/>
      <c r="O34" s="488"/>
      <c r="P34" s="489"/>
      <c r="Q34" s="792"/>
      <c r="R34" s="476"/>
    </row>
    <row r="35" spans="2:20" ht="13.5" thickBot="1">
      <c r="B35" s="487">
        <v>43171</v>
      </c>
      <c r="C35" s="488" t="s">
        <v>208</v>
      </c>
      <c r="D35" s="489" t="s">
        <v>250</v>
      </c>
      <c r="E35" s="490">
        <v>33620</v>
      </c>
      <c r="F35" s="491">
        <v>1.7</v>
      </c>
      <c r="G35" s="491">
        <f t="shared" si="5"/>
        <v>57154</v>
      </c>
      <c r="H35" s="491">
        <f t="shared" si="6"/>
        <v>10859.26</v>
      </c>
      <c r="I35" s="491">
        <f t="shared" si="7"/>
        <v>68013.86</v>
      </c>
      <c r="J35" s="488"/>
      <c r="K35" s="488"/>
      <c r="L35" s="489"/>
      <c r="M35" s="491"/>
      <c r="N35" s="496"/>
      <c r="O35" s="488"/>
      <c r="P35" s="489"/>
      <c r="Q35" s="792"/>
      <c r="R35" s="476"/>
    </row>
    <row r="36" spans="2:20" ht="13.5" thickBot="1">
      <c r="B36" s="487">
        <v>43175</v>
      </c>
      <c r="C36" s="488" t="s">
        <v>208</v>
      </c>
      <c r="D36" s="489" t="s">
        <v>250</v>
      </c>
      <c r="E36" s="490">
        <v>29760</v>
      </c>
      <c r="F36" s="491">
        <v>1.7</v>
      </c>
      <c r="G36" s="491">
        <f t="shared" si="5"/>
        <v>50592</v>
      </c>
      <c r="H36" s="491">
        <f t="shared" si="6"/>
        <v>9612.48</v>
      </c>
      <c r="I36" s="491">
        <f t="shared" si="7"/>
        <v>60205.079999999994</v>
      </c>
      <c r="J36" s="488"/>
      <c r="K36" s="488"/>
      <c r="L36" s="489"/>
      <c r="M36" s="491"/>
      <c r="N36" s="496"/>
      <c r="O36" s="493"/>
      <c r="P36" s="791"/>
      <c r="Q36" s="579"/>
      <c r="R36" s="476"/>
    </row>
    <row r="37" spans="2:20" ht="13.5" thickBot="1">
      <c r="B37" s="487">
        <v>43180</v>
      </c>
      <c r="C37" s="488" t="s">
        <v>208</v>
      </c>
      <c r="D37" s="489" t="s">
        <v>250</v>
      </c>
      <c r="E37" s="490">
        <v>35900</v>
      </c>
      <c r="F37" s="491">
        <v>1.7</v>
      </c>
      <c r="G37" s="491">
        <f t="shared" si="5"/>
        <v>61030</v>
      </c>
      <c r="H37" s="491">
        <f t="shared" si="6"/>
        <v>11595.7</v>
      </c>
      <c r="I37" s="491">
        <f t="shared" si="7"/>
        <v>72626.3</v>
      </c>
      <c r="J37" s="488"/>
      <c r="K37" s="488"/>
      <c r="L37" s="489"/>
      <c r="M37" s="491"/>
      <c r="N37" s="496"/>
      <c r="O37" s="493"/>
      <c r="P37" s="791"/>
      <c r="Q37" s="579"/>
      <c r="R37" s="476"/>
    </row>
    <row r="38" spans="2:20" s="475" customFormat="1" ht="13.5" thickBot="1">
      <c r="B38" s="487">
        <v>43185</v>
      </c>
      <c r="C38" s="488" t="s">
        <v>208</v>
      </c>
      <c r="D38" s="489" t="s">
        <v>250</v>
      </c>
      <c r="E38" s="490">
        <v>32860</v>
      </c>
      <c r="F38" s="491">
        <v>1.7</v>
      </c>
      <c r="G38" s="491">
        <f t="shared" si="5"/>
        <v>55862</v>
      </c>
      <c r="H38" s="491">
        <f t="shared" si="6"/>
        <v>10613.78</v>
      </c>
      <c r="I38" s="491">
        <f t="shared" si="7"/>
        <v>66476.38</v>
      </c>
      <c r="J38" s="488"/>
      <c r="K38" s="488"/>
      <c r="L38" s="489"/>
      <c r="M38" s="491"/>
      <c r="N38" s="496"/>
      <c r="O38" s="493"/>
      <c r="P38" s="791"/>
      <c r="Q38" s="579"/>
      <c r="R38" s="476"/>
    </row>
    <row r="39" spans="2:20" s="475" customFormat="1" ht="13.5" thickBot="1">
      <c r="B39" s="487">
        <v>43188</v>
      </c>
      <c r="C39" s="488" t="s">
        <v>208</v>
      </c>
      <c r="D39" s="489" t="s">
        <v>250</v>
      </c>
      <c r="E39" s="490">
        <v>36992</v>
      </c>
      <c r="F39" s="491">
        <v>1.7</v>
      </c>
      <c r="G39" s="491">
        <f t="shared" si="5"/>
        <v>62886.400000000001</v>
      </c>
      <c r="H39" s="491">
        <f t="shared" si="6"/>
        <v>11948.416000000001</v>
      </c>
      <c r="I39" s="491">
        <f t="shared" si="7"/>
        <v>74835.416000000012</v>
      </c>
      <c r="J39" s="488"/>
      <c r="K39" s="488"/>
      <c r="L39" s="489"/>
      <c r="M39" s="491"/>
      <c r="N39" s="496"/>
      <c r="O39" s="493"/>
      <c r="P39" s="791"/>
      <c r="Q39" s="579"/>
      <c r="R39" s="476"/>
    </row>
    <row r="40" spans="2:20" s="475" customFormat="1" ht="13.5" thickBot="1">
      <c r="B40" s="487">
        <v>43188</v>
      </c>
      <c r="C40" s="488" t="s">
        <v>197</v>
      </c>
      <c r="D40" s="489" t="s">
        <v>250</v>
      </c>
      <c r="E40" s="490">
        <v>928</v>
      </c>
      <c r="F40" s="491">
        <v>4.4000000000000004</v>
      </c>
      <c r="G40" s="491">
        <f t="shared" si="5"/>
        <v>4083.2000000000003</v>
      </c>
      <c r="H40" s="491">
        <f t="shared" si="6"/>
        <v>775.80800000000011</v>
      </c>
      <c r="I40" s="491">
        <f t="shared" si="7"/>
        <v>4859.6080000000011</v>
      </c>
      <c r="J40" s="488"/>
      <c r="K40" s="488"/>
      <c r="L40" s="489"/>
      <c r="M40" s="491"/>
      <c r="N40" s="496"/>
      <c r="O40" s="493"/>
      <c r="P40" s="791"/>
      <c r="Q40" s="579"/>
      <c r="R40" s="476"/>
      <c r="T40" s="506"/>
    </row>
    <row r="41" spans="2:20" s="475" customFormat="1" ht="13.5" thickBot="1">
      <c r="B41" s="487">
        <v>43195</v>
      </c>
      <c r="C41" s="488" t="s">
        <v>208</v>
      </c>
      <c r="D41" s="489" t="s">
        <v>250</v>
      </c>
      <c r="E41" s="490">
        <v>40320</v>
      </c>
      <c r="F41" s="491">
        <v>1.7</v>
      </c>
      <c r="G41" s="491">
        <f t="shared" si="5"/>
        <v>68544</v>
      </c>
      <c r="H41" s="491">
        <f t="shared" si="6"/>
        <v>13023.36</v>
      </c>
      <c r="I41" s="491">
        <f t="shared" si="7"/>
        <v>81567.960000000006</v>
      </c>
      <c r="J41" s="488"/>
      <c r="K41" s="488"/>
      <c r="L41" s="489"/>
      <c r="M41" s="491"/>
      <c r="N41" s="496"/>
      <c r="O41" s="493"/>
      <c r="P41" s="791"/>
      <c r="Q41" s="579"/>
      <c r="R41" s="476"/>
      <c r="T41" s="506"/>
    </row>
    <row r="42" spans="2:20" s="475" customFormat="1" ht="13.5" thickBot="1">
      <c r="B42" s="487">
        <v>43199</v>
      </c>
      <c r="C42" s="488" t="s">
        <v>208</v>
      </c>
      <c r="D42" s="489" t="s">
        <v>250</v>
      </c>
      <c r="E42" s="490">
        <v>35408</v>
      </c>
      <c r="F42" s="491">
        <v>1.7</v>
      </c>
      <c r="G42" s="491">
        <f t="shared" si="5"/>
        <v>60193.599999999999</v>
      </c>
      <c r="H42" s="491">
        <f t="shared" si="6"/>
        <v>11436.784</v>
      </c>
      <c r="I42" s="491">
        <f t="shared" si="7"/>
        <v>71630.983999999997</v>
      </c>
      <c r="J42" s="488"/>
      <c r="K42" s="488"/>
      <c r="L42" s="489"/>
      <c r="M42" s="491"/>
      <c r="N42" s="496"/>
      <c r="O42" s="493"/>
      <c r="P42" s="791"/>
      <c r="Q42" s="579"/>
      <c r="R42" s="476"/>
    </row>
    <row r="43" spans="2:20" s="475" customFormat="1" ht="13.5" thickBot="1">
      <c r="B43" s="487">
        <v>43199</v>
      </c>
      <c r="C43" s="488" t="s">
        <v>197</v>
      </c>
      <c r="D43" s="489" t="s">
        <v>250</v>
      </c>
      <c r="E43" s="490">
        <v>2732</v>
      </c>
      <c r="F43" s="491">
        <v>4.4000000000000004</v>
      </c>
      <c r="G43" s="491">
        <f t="shared" si="5"/>
        <v>12020.800000000001</v>
      </c>
      <c r="H43" s="491">
        <f t="shared" si="6"/>
        <v>2283.9520000000002</v>
      </c>
      <c r="I43" s="491">
        <f t="shared" si="7"/>
        <v>14305.352000000001</v>
      </c>
      <c r="J43" s="488"/>
      <c r="K43" s="488"/>
      <c r="L43" s="489"/>
      <c r="M43" s="491"/>
      <c r="N43" s="496"/>
      <c r="O43" s="493"/>
      <c r="P43" s="791"/>
      <c r="Q43" s="579"/>
      <c r="R43" s="476"/>
    </row>
    <row r="44" spans="2:20" s="475" customFormat="1" ht="13.5" thickBot="1">
      <c r="B44" s="487">
        <v>43202</v>
      </c>
      <c r="C44" s="488" t="s">
        <v>208</v>
      </c>
      <c r="D44" s="489" t="s">
        <v>250</v>
      </c>
      <c r="E44" s="490">
        <v>37160</v>
      </c>
      <c r="F44" s="491">
        <v>1.7</v>
      </c>
      <c r="G44" s="491">
        <f t="shared" si="5"/>
        <v>63172</v>
      </c>
      <c r="H44" s="491">
        <f t="shared" si="6"/>
        <v>12002.68</v>
      </c>
      <c r="I44" s="491">
        <f t="shared" si="7"/>
        <v>75175.28</v>
      </c>
      <c r="J44" s="488"/>
      <c r="K44" s="488"/>
      <c r="L44" s="489"/>
      <c r="M44" s="491"/>
      <c r="N44" s="496"/>
      <c r="O44" s="493"/>
      <c r="P44" s="791"/>
      <c r="Q44" s="579"/>
      <c r="R44" s="476"/>
    </row>
    <row r="45" spans="2:20" s="475" customFormat="1" ht="13.5" thickBot="1">
      <c r="B45" s="487">
        <v>43206</v>
      </c>
      <c r="C45" s="488" t="s">
        <v>208</v>
      </c>
      <c r="D45" s="489" t="s">
        <v>250</v>
      </c>
      <c r="E45" s="490">
        <v>35400</v>
      </c>
      <c r="F45" s="491">
        <v>1.7</v>
      </c>
      <c r="G45" s="491">
        <f t="shared" si="5"/>
        <v>60180</v>
      </c>
      <c r="H45" s="491">
        <f t="shared" si="6"/>
        <v>11434.2</v>
      </c>
      <c r="I45" s="491">
        <f t="shared" si="7"/>
        <v>71614.8</v>
      </c>
      <c r="J45" s="488"/>
      <c r="K45" s="488"/>
      <c r="L45" s="489"/>
      <c r="M45" s="491"/>
      <c r="N45" s="496"/>
      <c r="O45" s="493"/>
      <c r="P45" s="791"/>
      <c r="Q45" s="579"/>
      <c r="R45" s="476"/>
    </row>
    <row r="46" spans="2:20" s="475" customFormat="1" ht="13.5" thickBot="1">
      <c r="B46" s="487">
        <v>43209</v>
      </c>
      <c r="C46" s="488" t="s">
        <v>208</v>
      </c>
      <c r="D46" s="489" t="s">
        <v>250</v>
      </c>
      <c r="E46" s="490">
        <v>38160</v>
      </c>
      <c r="F46" s="491">
        <v>1.7</v>
      </c>
      <c r="G46" s="491">
        <f t="shared" si="5"/>
        <v>64872</v>
      </c>
      <c r="H46" s="491">
        <f t="shared" si="6"/>
        <v>12325.68</v>
      </c>
      <c r="I46" s="491">
        <f t="shared" si="7"/>
        <v>77198.28</v>
      </c>
      <c r="J46" s="488"/>
      <c r="K46" s="488"/>
      <c r="L46" s="489"/>
      <c r="M46" s="491"/>
      <c r="N46" s="496"/>
      <c r="O46" s="493"/>
      <c r="P46" s="793"/>
      <c r="Q46" s="579"/>
      <c r="R46" s="476"/>
    </row>
    <row r="47" spans="2:20" s="475" customFormat="1" ht="13.5" thickBot="1">
      <c r="B47" s="487">
        <v>43217</v>
      </c>
      <c r="C47" s="488" t="s">
        <v>208</v>
      </c>
      <c r="D47" s="489" t="s">
        <v>250</v>
      </c>
      <c r="E47" s="490">
        <v>37060</v>
      </c>
      <c r="F47" s="491">
        <v>1.7</v>
      </c>
      <c r="G47" s="491">
        <f t="shared" si="5"/>
        <v>63002</v>
      </c>
      <c r="H47" s="491">
        <f t="shared" si="6"/>
        <v>11970.380000000001</v>
      </c>
      <c r="I47" s="491">
        <f t="shared" si="7"/>
        <v>74972.98000000001</v>
      </c>
      <c r="J47" s="488"/>
      <c r="K47" s="488"/>
      <c r="L47" s="489"/>
      <c r="M47" s="491"/>
      <c r="N47" s="496"/>
      <c r="O47" s="493"/>
      <c r="P47" s="793"/>
      <c r="Q47" s="579"/>
      <c r="R47" s="476"/>
    </row>
    <row r="48" spans="2:20" s="475" customFormat="1">
      <c r="B48" s="501">
        <v>43222</v>
      </c>
      <c r="C48" s="476" t="s">
        <v>208</v>
      </c>
      <c r="D48" s="502" t="s">
        <v>250</v>
      </c>
      <c r="E48" s="503">
        <v>33565</v>
      </c>
      <c r="F48" s="504">
        <v>1.7</v>
      </c>
      <c r="G48" s="504">
        <f t="shared" si="5"/>
        <v>57060.5</v>
      </c>
      <c r="H48" s="504">
        <f t="shared" si="6"/>
        <v>10841.495000000001</v>
      </c>
      <c r="I48" s="504">
        <f t="shared" si="7"/>
        <v>67902.595000000001</v>
      </c>
      <c r="J48" s="476"/>
      <c r="K48" s="476"/>
      <c r="L48" s="502"/>
      <c r="M48" s="504"/>
      <c r="N48" s="505"/>
      <c r="O48" s="479"/>
      <c r="P48" s="482"/>
      <c r="Q48" s="479"/>
      <c r="R48" s="476"/>
    </row>
    <row r="49" spans="2:18" s="475" customFormat="1">
      <c r="B49" s="501">
        <v>43222</v>
      </c>
      <c r="C49" s="476" t="s">
        <v>197</v>
      </c>
      <c r="D49" s="502" t="s">
        <v>250</v>
      </c>
      <c r="E49" s="503">
        <v>1715</v>
      </c>
      <c r="F49" s="504">
        <v>4.4000000000000004</v>
      </c>
      <c r="G49" s="504">
        <f t="shared" si="5"/>
        <v>7546.0000000000009</v>
      </c>
      <c r="H49" s="504">
        <f t="shared" si="6"/>
        <v>1433.7400000000002</v>
      </c>
      <c r="I49" s="504">
        <f t="shared" si="7"/>
        <v>8980.340000000002</v>
      </c>
      <c r="J49" s="476"/>
      <c r="K49" s="476"/>
      <c r="L49" s="502"/>
      <c r="M49" s="504"/>
      <c r="N49" s="505"/>
      <c r="O49" s="479"/>
      <c r="P49" s="482"/>
      <c r="Q49" s="479"/>
      <c r="R49" s="476"/>
    </row>
    <row r="50" spans="2:18" s="475" customFormat="1">
      <c r="B50" s="501">
        <v>43227</v>
      </c>
      <c r="C50" s="476" t="s">
        <v>208</v>
      </c>
      <c r="D50" s="502" t="s">
        <v>250</v>
      </c>
      <c r="E50" s="503">
        <v>35000</v>
      </c>
      <c r="F50" s="504">
        <v>1.7</v>
      </c>
      <c r="G50" s="504">
        <f t="shared" si="5"/>
        <v>59500</v>
      </c>
      <c r="H50" s="504">
        <f t="shared" si="6"/>
        <v>11305</v>
      </c>
      <c r="I50" s="504">
        <f t="shared" si="7"/>
        <v>70805.600000000006</v>
      </c>
      <c r="J50" s="476"/>
      <c r="K50" s="476"/>
      <c r="L50" s="502"/>
      <c r="M50" s="504"/>
      <c r="N50" s="505"/>
      <c r="O50" s="479"/>
      <c r="P50" s="482"/>
      <c r="Q50" s="479"/>
      <c r="R50" s="476"/>
    </row>
    <row r="51" spans="2:18" s="475" customFormat="1">
      <c r="B51" s="501">
        <v>43231</v>
      </c>
      <c r="C51" s="476" t="s">
        <v>208</v>
      </c>
      <c r="D51" s="502" t="s">
        <v>250</v>
      </c>
      <c r="E51" s="503">
        <v>30540</v>
      </c>
      <c r="F51" s="504">
        <v>1.65</v>
      </c>
      <c r="G51" s="504">
        <f t="shared" si="5"/>
        <v>50391</v>
      </c>
      <c r="H51" s="504">
        <f t="shared" si="6"/>
        <v>9574.2900000000009</v>
      </c>
      <c r="I51" s="504">
        <f t="shared" si="7"/>
        <v>59965.89</v>
      </c>
      <c r="J51" s="476"/>
      <c r="K51" s="476"/>
      <c r="L51" s="502"/>
      <c r="M51" s="504"/>
      <c r="N51" s="505"/>
      <c r="O51" s="479"/>
      <c r="P51" s="482"/>
      <c r="Q51" s="479"/>
      <c r="R51" s="476"/>
    </row>
    <row r="52" spans="2:18" s="475" customFormat="1">
      <c r="B52" s="501">
        <v>43236</v>
      </c>
      <c r="C52" s="476" t="s">
        <v>208</v>
      </c>
      <c r="D52" s="502" t="s">
        <v>250</v>
      </c>
      <c r="E52" s="503">
        <v>38380</v>
      </c>
      <c r="F52" s="504">
        <v>1.65</v>
      </c>
      <c r="G52" s="504">
        <f t="shared" si="5"/>
        <v>63327</v>
      </c>
      <c r="H52" s="504">
        <f t="shared" si="6"/>
        <v>12032.130000000001</v>
      </c>
      <c r="I52" s="504">
        <f t="shared" si="7"/>
        <v>75359.73000000001</v>
      </c>
      <c r="J52" s="476"/>
      <c r="K52" s="476"/>
      <c r="L52" s="502"/>
      <c r="M52" s="504"/>
      <c r="N52" s="505"/>
      <c r="O52" s="479"/>
      <c r="P52" s="482"/>
      <c r="Q52" s="479"/>
      <c r="R52" s="476"/>
    </row>
    <row r="53" spans="2:18" s="475" customFormat="1">
      <c r="B53" s="501"/>
      <c r="C53" s="476"/>
      <c r="D53" s="502"/>
      <c r="E53" s="503"/>
      <c r="F53" s="504"/>
      <c r="G53" s="504"/>
      <c r="H53" s="504"/>
      <c r="I53" s="504"/>
      <c r="J53" s="476"/>
      <c r="K53" s="476"/>
      <c r="L53" s="502"/>
      <c r="M53" s="504"/>
      <c r="N53" s="505"/>
      <c r="O53" s="479"/>
      <c r="P53" s="482"/>
      <c r="Q53" s="479"/>
      <c r="R53" s="476"/>
    </row>
    <row r="54" spans="2:18" s="475" customFormat="1">
      <c r="B54" s="501"/>
      <c r="C54" s="476"/>
      <c r="D54" s="502"/>
      <c r="E54" s="503"/>
      <c r="F54" s="504"/>
      <c r="G54" s="504"/>
      <c r="H54" s="504"/>
      <c r="I54" s="504"/>
      <c r="J54" s="476"/>
      <c r="K54" s="476"/>
      <c r="L54" s="502"/>
      <c r="M54" s="504"/>
      <c r="N54" s="505"/>
      <c r="O54" s="479"/>
      <c r="P54" s="482"/>
      <c r="Q54" s="479"/>
      <c r="R54" s="476"/>
    </row>
    <row r="55" spans="2:18" s="475" customFormat="1">
      <c r="B55" s="501"/>
      <c r="C55" s="476"/>
      <c r="D55" s="502"/>
      <c r="E55" s="503"/>
      <c r="F55" s="504"/>
      <c r="G55" s="504"/>
      <c r="H55" s="504"/>
      <c r="I55" s="504"/>
      <c r="J55" s="476"/>
      <c r="K55" s="476"/>
      <c r="L55" s="502"/>
      <c r="M55" s="504"/>
      <c r="N55" s="505"/>
      <c r="O55" s="479"/>
      <c r="P55" s="482"/>
      <c r="Q55" s="479"/>
      <c r="R55" s="476"/>
    </row>
    <row r="56" spans="2:18" s="475" customFormat="1">
      <c r="B56" s="501"/>
      <c r="C56" s="476"/>
      <c r="D56" s="502"/>
      <c r="E56" s="503"/>
      <c r="F56" s="504"/>
      <c r="G56" s="504"/>
      <c r="H56" s="504"/>
      <c r="I56" s="504"/>
      <c r="J56" s="476"/>
      <c r="K56" s="476"/>
      <c r="L56" s="502"/>
      <c r="M56" s="504"/>
      <c r="N56" s="505"/>
      <c r="O56" s="479"/>
      <c r="P56" s="482"/>
      <c r="Q56" s="479"/>
      <c r="R56" s="476"/>
    </row>
    <row r="57" spans="2:18" s="475" customFormat="1">
      <c r="B57" s="501"/>
      <c r="C57" s="476"/>
      <c r="D57" s="502"/>
      <c r="E57" s="503"/>
      <c r="F57" s="504"/>
      <c r="G57" s="504"/>
      <c r="H57" s="504"/>
      <c r="I57" s="504"/>
      <c r="J57" s="476"/>
      <c r="K57" s="476"/>
      <c r="L57" s="502"/>
      <c r="M57" s="504"/>
      <c r="N57" s="505"/>
      <c r="O57" s="479"/>
      <c r="P57" s="482"/>
      <c r="Q57" s="479"/>
      <c r="R57" s="476"/>
    </row>
    <row r="58" spans="2:18" s="475" customFormat="1">
      <c r="B58" s="501"/>
      <c r="C58" s="476"/>
      <c r="D58" s="502"/>
      <c r="E58" s="503"/>
      <c r="F58" s="504"/>
      <c r="G58" s="504"/>
      <c r="H58" s="504"/>
      <c r="I58" s="504"/>
      <c r="J58" s="476"/>
      <c r="K58" s="476"/>
      <c r="L58" s="502"/>
      <c r="M58" s="504"/>
      <c r="N58" s="505"/>
      <c r="O58" s="479"/>
      <c r="P58" s="482"/>
      <c r="Q58" s="479"/>
      <c r="R58" s="476"/>
    </row>
    <row r="59" spans="2:18" s="475" customFormat="1">
      <c r="B59" s="501"/>
      <c r="C59" s="476"/>
      <c r="D59" s="502"/>
      <c r="E59" s="503"/>
      <c r="F59" s="504"/>
      <c r="G59" s="504"/>
      <c r="H59" s="504"/>
      <c r="I59" s="504"/>
      <c r="J59" s="476"/>
      <c r="K59" s="476"/>
      <c r="L59" s="502"/>
      <c r="M59" s="504"/>
      <c r="N59" s="505"/>
      <c r="O59" s="479"/>
      <c r="P59" s="482"/>
      <c r="Q59" s="479"/>
      <c r="R59" s="476"/>
    </row>
    <row r="60" spans="2:18" s="475" customFormat="1">
      <c r="B60" s="501"/>
      <c r="C60" s="476"/>
      <c r="D60" s="502"/>
      <c r="E60" s="503"/>
      <c r="F60" s="504"/>
      <c r="G60" s="504"/>
      <c r="H60" s="504"/>
      <c r="I60" s="504"/>
      <c r="J60" s="476"/>
      <c r="K60" s="504"/>
      <c r="L60" s="502"/>
      <c r="M60" s="504"/>
      <c r="N60" s="505"/>
      <c r="O60" s="479"/>
      <c r="P60" s="482"/>
      <c r="Q60" s="479"/>
      <c r="R60" s="476"/>
    </row>
    <row r="61" spans="2:18" s="475" customFormat="1">
      <c r="B61" s="501"/>
      <c r="C61" s="476"/>
      <c r="D61" s="502"/>
      <c r="E61" s="503"/>
      <c r="F61" s="504"/>
      <c r="G61" s="504"/>
      <c r="H61" s="504"/>
      <c r="I61" s="504"/>
      <c r="J61" s="476"/>
      <c r="K61" s="504"/>
      <c r="L61" s="502"/>
      <c r="M61" s="504"/>
      <c r="N61" s="505"/>
      <c r="O61" s="479"/>
      <c r="P61" s="482"/>
      <c r="Q61" s="479"/>
      <c r="R61" s="476"/>
    </row>
    <row r="62" spans="2:18">
      <c r="B62" s="501"/>
      <c r="C62" s="476"/>
      <c r="D62" s="502"/>
      <c r="E62" s="503"/>
      <c r="F62" s="504"/>
      <c r="G62" s="504"/>
      <c r="H62" s="504"/>
      <c r="I62" s="504"/>
      <c r="J62" s="476"/>
      <c r="K62" s="476"/>
      <c r="L62" s="502"/>
      <c r="M62" s="504"/>
      <c r="N62" s="505"/>
      <c r="O62" s="479"/>
      <c r="P62" s="482"/>
      <c r="Q62" s="479"/>
      <c r="R62" s="476"/>
    </row>
    <row r="63" spans="2:18">
      <c r="B63" s="501"/>
      <c r="C63" s="476"/>
      <c r="D63" s="502"/>
      <c r="E63" s="503"/>
      <c r="F63" s="504"/>
      <c r="G63" s="504"/>
      <c r="H63" s="504"/>
      <c r="I63" s="504"/>
      <c r="J63" s="476"/>
      <c r="K63" s="504"/>
      <c r="L63" s="502"/>
      <c r="M63" s="504"/>
      <c r="N63" s="505"/>
      <c r="O63" s="479"/>
      <c r="P63" s="482"/>
      <c r="Q63" s="479"/>
      <c r="R63" s="476"/>
    </row>
    <row r="64" spans="2:18">
      <c r="B64" s="501"/>
      <c r="C64" s="476"/>
      <c r="D64" s="502"/>
      <c r="E64" s="503"/>
      <c r="F64" s="504"/>
      <c r="G64" s="504"/>
      <c r="H64" s="504"/>
      <c r="I64" s="504"/>
      <c r="J64" s="476"/>
      <c r="K64" s="504"/>
      <c r="L64" s="502"/>
      <c r="M64" s="504"/>
      <c r="N64" s="505"/>
      <c r="O64" s="479"/>
      <c r="P64" s="482"/>
      <c r="Q64" s="479"/>
      <c r="R64" s="476"/>
    </row>
    <row r="65" spans="2:18">
      <c r="B65" s="501"/>
      <c r="C65" s="476"/>
      <c r="D65" s="502"/>
      <c r="E65" s="503"/>
      <c r="F65" s="504"/>
      <c r="G65" s="504"/>
      <c r="H65" s="504"/>
      <c r="I65" s="504"/>
      <c r="J65" s="476"/>
      <c r="K65" s="476"/>
      <c r="L65" s="502"/>
      <c r="M65" s="504"/>
      <c r="N65" s="505"/>
      <c r="O65" s="479"/>
      <c r="P65" s="482"/>
      <c r="Q65" s="479"/>
      <c r="R65" s="476"/>
    </row>
    <row r="66" spans="2:18" s="476" customFormat="1">
      <c r="B66" s="501"/>
      <c r="D66" s="502"/>
      <c r="E66" s="503"/>
      <c r="F66" s="504"/>
      <c r="G66" s="504"/>
      <c r="H66" s="504"/>
      <c r="I66" s="504"/>
      <c r="L66" s="502"/>
      <c r="M66" s="504"/>
      <c r="N66" s="505"/>
      <c r="O66" s="479"/>
      <c r="P66" s="482"/>
      <c r="Q66" s="479"/>
    </row>
    <row r="67" spans="2:18">
      <c r="B67" s="501"/>
      <c r="C67" s="476"/>
      <c r="D67" s="502"/>
      <c r="E67" s="503"/>
      <c r="F67" s="504"/>
      <c r="G67" s="504"/>
      <c r="H67" s="504"/>
      <c r="I67" s="504"/>
      <c r="J67" s="476"/>
      <c r="K67" s="476"/>
      <c r="L67" s="502"/>
      <c r="M67" s="504"/>
      <c r="N67" s="505"/>
      <c r="O67" s="479"/>
      <c r="P67" s="482"/>
      <c r="Q67" s="479"/>
      <c r="R67" s="476"/>
    </row>
    <row r="68" spans="2:18">
      <c r="B68" s="501"/>
      <c r="C68" s="476"/>
      <c r="D68" s="502"/>
      <c r="E68" s="503"/>
      <c r="F68" s="504"/>
      <c r="G68" s="504"/>
      <c r="H68" s="504"/>
      <c r="I68" s="504"/>
      <c r="J68" s="476"/>
      <c r="K68" s="476"/>
      <c r="L68" s="502"/>
      <c r="M68" s="504"/>
      <c r="N68" s="505"/>
      <c r="O68" s="479"/>
      <c r="P68" s="482"/>
      <c r="Q68" s="479"/>
      <c r="R68" s="476"/>
    </row>
  </sheetData>
  <pageMargins left="0" right="0" top="0.74803149606299213" bottom="0.74803149606299213" header="0.31496062992125984" footer="0.31496062992125984"/>
  <pageSetup paperSize="9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V20"/>
  <sheetViews>
    <sheetView workbookViewId="0">
      <selection activeCell="O27" sqref="O27"/>
    </sheetView>
  </sheetViews>
  <sheetFormatPr baseColWidth="10" defaultRowHeight="12.75"/>
  <cols>
    <col min="1" max="1" width="1.5703125" style="473" customWidth="1"/>
    <col min="2" max="2" width="11.140625" style="507" bestFit="1" customWidth="1"/>
    <col min="3" max="3" width="35.140625" style="507" bestFit="1" customWidth="1"/>
    <col min="4" max="4" width="17" style="473" bestFit="1" customWidth="1"/>
    <col min="5" max="5" width="3.42578125" style="477" bestFit="1" customWidth="1"/>
    <col min="6" max="6" width="10.28515625" style="508" bestFit="1" customWidth="1"/>
    <col min="7" max="7" width="11" style="474" bestFit="1" customWidth="1"/>
    <col min="8" max="8" width="11.140625" style="474" bestFit="1" customWidth="1"/>
    <col min="9" max="9" width="9.28515625" style="474" bestFit="1" customWidth="1"/>
    <col min="10" max="10" width="8.85546875" style="474" customWidth="1"/>
    <col min="11" max="11" width="10.7109375" style="474" customWidth="1"/>
    <col min="12" max="12" width="12" style="474" customWidth="1"/>
    <col min="13" max="13" width="8.28515625" style="473" bestFit="1" customWidth="1"/>
    <col min="14" max="14" width="11" style="473" bestFit="1" customWidth="1"/>
    <col min="15" max="15" width="10" style="477" bestFit="1" customWidth="1"/>
    <col min="16" max="16" width="8.7109375" style="474" bestFit="1" customWidth="1"/>
    <col min="17" max="17" width="9" style="507" bestFit="1" customWidth="1"/>
    <col min="18" max="18" width="8.85546875" style="478" bestFit="1" customWidth="1"/>
    <col min="19" max="19" width="9.85546875" style="473" bestFit="1" customWidth="1"/>
    <col min="20" max="20" width="11.140625" style="473" bestFit="1" customWidth="1"/>
    <col min="21" max="16384" width="11.42578125" style="473"/>
  </cols>
  <sheetData>
    <row r="1" spans="2:22" s="472" customFormat="1" ht="26.25" thickBot="1">
      <c r="B1" s="453" t="s">
        <v>256</v>
      </c>
      <c r="C1" s="453" t="s">
        <v>119</v>
      </c>
      <c r="D1" s="454" t="s">
        <v>184</v>
      </c>
      <c r="E1" s="454" t="s">
        <v>185</v>
      </c>
      <c r="F1" s="455" t="s">
        <v>257</v>
      </c>
      <c r="G1" s="456" t="s">
        <v>187</v>
      </c>
      <c r="H1" s="456" t="s">
        <v>189</v>
      </c>
      <c r="I1" s="456" t="s">
        <v>190</v>
      </c>
      <c r="J1" s="456" t="s">
        <v>253</v>
      </c>
      <c r="K1" s="456" t="s">
        <v>191</v>
      </c>
      <c r="L1" s="456"/>
      <c r="M1" s="454" t="s">
        <v>192</v>
      </c>
      <c r="N1" s="454" t="s">
        <v>193</v>
      </c>
      <c r="O1" s="454" t="s">
        <v>188</v>
      </c>
      <c r="P1" s="456" t="s">
        <v>11</v>
      </c>
      <c r="Q1" s="453" t="s">
        <v>10</v>
      </c>
      <c r="R1" s="458" t="s">
        <v>194</v>
      </c>
      <c r="S1" s="458" t="s">
        <v>258</v>
      </c>
      <c r="T1" s="471" t="s">
        <v>243</v>
      </c>
    </row>
    <row r="2" spans="2:22" s="476" customFormat="1" ht="18.75" customHeight="1" thickBot="1">
      <c r="B2" s="487">
        <v>42914</v>
      </c>
      <c r="C2" s="678" t="s">
        <v>254</v>
      </c>
      <c r="D2" s="488" t="s">
        <v>208</v>
      </c>
      <c r="E2" s="489" t="s">
        <v>250</v>
      </c>
      <c r="F2" s="490">
        <v>37610</v>
      </c>
      <c r="G2" s="491">
        <v>1.4</v>
      </c>
      <c r="H2" s="491">
        <f t="shared" ref="H2:H9" si="0">G2*F2</f>
        <v>52654</v>
      </c>
      <c r="I2" s="491">
        <f t="shared" ref="I2:I10" si="1">H2*0.18</f>
        <v>9477.7199999999993</v>
      </c>
      <c r="J2" s="491">
        <f t="shared" ref="J2:J10" si="2">(H2+I2)*1%</f>
        <v>621.31720000000007</v>
      </c>
      <c r="K2" s="491">
        <f t="shared" ref="K2:K10" si="3">J2+I2+H2+0.5</f>
        <v>62753.537199999999</v>
      </c>
      <c r="L2" s="491">
        <v>53275</v>
      </c>
      <c r="M2" s="488" t="s">
        <v>251</v>
      </c>
      <c r="N2" s="488">
        <v>3</v>
      </c>
      <c r="O2" s="488" t="s">
        <v>124</v>
      </c>
      <c r="P2" s="491">
        <v>62753.536999999997</v>
      </c>
      <c r="Q2" s="510">
        <v>42965</v>
      </c>
      <c r="R2" s="493" t="s">
        <v>102</v>
      </c>
      <c r="S2" s="512">
        <f>+K2-I2</f>
        <v>53275.817199999998</v>
      </c>
      <c r="T2" s="495" t="s">
        <v>259</v>
      </c>
    </row>
    <row r="3" spans="2:22" ht="18.75" customHeight="1" thickBot="1">
      <c r="B3" s="487">
        <v>42942</v>
      </c>
      <c r="C3" s="678" t="s">
        <v>254</v>
      </c>
      <c r="D3" s="488" t="s">
        <v>208</v>
      </c>
      <c r="E3" s="489" t="s">
        <v>250</v>
      </c>
      <c r="F3" s="490">
        <v>37570</v>
      </c>
      <c r="G3" s="491">
        <v>1.4</v>
      </c>
      <c r="H3" s="491">
        <f t="shared" si="0"/>
        <v>52598</v>
      </c>
      <c r="I3" s="491">
        <f t="shared" si="1"/>
        <v>9467.64</v>
      </c>
      <c r="J3" s="491">
        <f t="shared" si="2"/>
        <v>620.65639999999996</v>
      </c>
      <c r="K3" s="491">
        <f t="shared" si="3"/>
        <v>62686.796399999999</v>
      </c>
      <c r="L3" s="491">
        <v>150000</v>
      </c>
      <c r="M3" s="488"/>
      <c r="N3" s="488"/>
      <c r="O3" s="488" t="s">
        <v>124</v>
      </c>
      <c r="P3" s="491"/>
      <c r="Q3" s="510"/>
      <c r="R3" s="493"/>
      <c r="S3" s="493"/>
      <c r="T3" s="584"/>
      <c r="V3" s="476"/>
    </row>
    <row r="4" spans="2:22" ht="18.75" customHeight="1" thickBot="1">
      <c r="B4" s="487">
        <v>43036</v>
      </c>
      <c r="C4" s="678" t="s">
        <v>254</v>
      </c>
      <c r="D4" s="488" t="s">
        <v>208</v>
      </c>
      <c r="E4" s="489" t="s">
        <v>250</v>
      </c>
      <c r="F4" s="490">
        <v>38100</v>
      </c>
      <c r="G4" s="491">
        <v>1.4</v>
      </c>
      <c r="H4" s="491">
        <f t="shared" si="0"/>
        <v>53340</v>
      </c>
      <c r="I4" s="491">
        <f t="shared" si="1"/>
        <v>9601.1999999999989</v>
      </c>
      <c r="J4" s="491">
        <f t="shared" si="2"/>
        <v>629.41200000000003</v>
      </c>
      <c r="K4" s="491">
        <f t="shared" si="3"/>
        <v>63571.112000000001</v>
      </c>
      <c r="L4" s="491"/>
      <c r="M4" s="488"/>
      <c r="N4" s="488"/>
      <c r="O4" s="488" t="s">
        <v>124</v>
      </c>
      <c r="P4" s="491"/>
      <c r="Q4" s="510"/>
      <c r="R4" s="493"/>
      <c r="S4" s="493"/>
      <c r="T4" s="584"/>
      <c r="V4" s="476"/>
    </row>
    <row r="5" spans="2:22" ht="18.75" customHeight="1" thickBot="1">
      <c r="B5" s="487">
        <v>43039</v>
      </c>
      <c r="C5" s="678" t="s">
        <v>254</v>
      </c>
      <c r="D5" s="488" t="s">
        <v>208</v>
      </c>
      <c r="E5" s="489" t="s">
        <v>250</v>
      </c>
      <c r="F5" s="490">
        <v>36740</v>
      </c>
      <c r="G5" s="491">
        <v>1.4</v>
      </c>
      <c r="H5" s="491">
        <f t="shared" si="0"/>
        <v>51436</v>
      </c>
      <c r="I5" s="491">
        <f t="shared" si="1"/>
        <v>9258.48</v>
      </c>
      <c r="J5" s="491">
        <f t="shared" si="2"/>
        <v>606.94479999999999</v>
      </c>
      <c r="K5" s="491">
        <f t="shared" si="3"/>
        <v>61301.924800000001</v>
      </c>
      <c r="L5" s="491"/>
      <c r="M5" s="488"/>
      <c r="N5" s="488"/>
      <c r="O5" s="488" t="s">
        <v>124</v>
      </c>
      <c r="P5" s="491"/>
      <c r="Q5" s="510"/>
      <c r="R5" s="493"/>
      <c r="S5" s="493"/>
      <c r="T5" s="584"/>
      <c r="V5" s="476"/>
    </row>
    <row r="6" spans="2:22" ht="18.75" customHeight="1" thickBot="1">
      <c r="B6" s="487">
        <v>42958</v>
      </c>
      <c r="C6" s="678" t="s">
        <v>254</v>
      </c>
      <c r="D6" s="488" t="s">
        <v>208</v>
      </c>
      <c r="E6" s="489" t="s">
        <v>250</v>
      </c>
      <c r="F6" s="490">
        <v>35900</v>
      </c>
      <c r="G6" s="491">
        <v>1.4</v>
      </c>
      <c r="H6" s="491">
        <f t="shared" si="0"/>
        <v>50260</v>
      </c>
      <c r="I6" s="491">
        <f t="shared" si="1"/>
        <v>9046.7999999999993</v>
      </c>
      <c r="J6" s="491">
        <f t="shared" si="2"/>
        <v>593.0680000000001</v>
      </c>
      <c r="K6" s="491">
        <f t="shared" si="3"/>
        <v>59900.368000000002</v>
      </c>
      <c r="L6" s="491">
        <v>60000</v>
      </c>
      <c r="M6" s="497"/>
      <c r="N6" s="497"/>
      <c r="O6" s="497" t="s">
        <v>113</v>
      </c>
      <c r="P6" s="498"/>
      <c r="Q6" s="511"/>
      <c r="R6" s="499"/>
      <c r="S6" s="499"/>
      <c r="T6" s="500"/>
      <c r="V6" s="476"/>
    </row>
    <row r="7" spans="2:22" ht="18.75" customHeight="1" thickBot="1">
      <c r="B7" s="487">
        <v>42972</v>
      </c>
      <c r="C7" s="678" t="s">
        <v>254</v>
      </c>
      <c r="D7" s="488" t="s">
        <v>208</v>
      </c>
      <c r="E7" s="489" t="s">
        <v>250</v>
      </c>
      <c r="F7" s="490">
        <v>37400</v>
      </c>
      <c r="G7" s="491">
        <v>1.4</v>
      </c>
      <c r="H7" s="491">
        <f t="shared" si="0"/>
        <v>52360</v>
      </c>
      <c r="I7" s="491">
        <f t="shared" si="1"/>
        <v>9424.7999999999993</v>
      </c>
      <c r="J7" s="491">
        <f t="shared" si="2"/>
        <v>617.84800000000007</v>
      </c>
      <c r="K7" s="491">
        <f t="shared" si="3"/>
        <v>62403.148000000001</v>
      </c>
      <c r="L7" s="491">
        <v>20000</v>
      </c>
      <c r="M7" s="497"/>
      <c r="N7" s="497"/>
      <c r="O7" s="497" t="s">
        <v>113</v>
      </c>
      <c r="P7" s="498"/>
      <c r="Q7" s="511"/>
      <c r="R7" s="499"/>
      <c r="S7" s="499"/>
      <c r="T7" s="500"/>
      <c r="V7" s="476"/>
    </row>
    <row r="8" spans="2:22">
      <c r="B8" s="507">
        <v>43095</v>
      </c>
      <c r="C8" s="643" t="s">
        <v>254</v>
      </c>
      <c r="D8" s="473" t="s">
        <v>208</v>
      </c>
      <c r="E8" s="477" t="s">
        <v>250</v>
      </c>
      <c r="F8" s="508">
        <v>36100</v>
      </c>
      <c r="G8" s="474">
        <v>1.45</v>
      </c>
      <c r="H8" s="474">
        <f t="shared" si="0"/>
        <v>52345</v>
      </c>
      <c r="I8" s="474">
        <f t="shared" si="1"/>
        <v>9422.1</v>
      </c>
      <c r="J8" s="474">
        <f t="shared" si="2"/>
        <v>617.67100000000005</v>
      </c>
      <c r="K8" s="474">
        <f t="shared" si="3"/>
        <v>62385.271000000001</v>
      </c>
      <c r="O8" s="477" t="s">
        <v>124</v>
      </c>
    </row>
    <row r="9" spans="2:22">
      <c r="B9" s="507">
        <v>43463</v>
      </c>
      <c r="C9" s="643" t="s">
        <v>254</v>
      </c>
      <c r="D9" s="473" t="s">
        <v>208</v>
      </c>
      <c r="E9" s="477" t="s">
        <v>250</v>
      </c>
      <c r="F9" s="508">
        <v>34540</v>
      </c>
      <c r="G9" s="474">
        <v>1.45</v>
      </c>
      <c r="H9" s="474">
        <f t="shared" si="0"/>
        <v>50083</v>
      </c>
      <c r="I9" s="474">
        <f t="shared" si="1"/>
        <v>9014.94</v>
      </c>
      <c r="J9" s="474">
        <f t="shared" si="2"/>
        <v>590.97940000000006</v>
      </c>
      <c r="K9" s="474">
        <f t="shared" si="3"/>
        <v>59689.419399999999</v>
      </c>
      <c r="O9" s="477" t="s">
        <v>124</v>
      </c>
      <c r="Q9" s="507" t="s">
        <v>205</v>
      </c>
    </row>
    <row r="10" spans="2:22">
      <c r="C10" s="643"/>
      <c r="H10" s="474">
        <f>SUM(H2:H9)</f>
        <v>415076</v>
      </c>
      <c r="I10" s="474">
        <f t="shared" si="1"/>
        <v>74713.679999999993</v>
      </c>
      <c r="J10" s="474">
        <f t="shared" si="2"/>
        <v>4897.8968000000004</v>
      </c>
      <c r="K10" s="474">
        <f t="shared" si="3"/>
        <v>494688.07679999998</v>
      </c>
      <c r="L10" s="474">
        <f>SUM(L2:L9)</f>
        <v>283275</v>
      </c>
    </row>
    <row r="11" spans="2:22">
      <c r="C11" s="643"/>
      <c r="L11" s="474">
        <f>I10</f>
        <v>74713.679999999993</v>
      </c>
    </row>
    <row r="12" spans="2:22">
      <c r="C12" s="643"/>
      <c r="L12" s="474">
        <f>+J10</f>
        <v>4897.8968000000004</v>
      </c>
    </row>
    <row r="13" spans="2:22">
      <c r="C13" s="643"/>
      <c r="L13" s="474">
        <f>(K2+K3+K4+K5+K6+K7)</f>
        <v>372616.88640000002</v>
      </c>
    </row>
    <row r="14" spans="2:22">
      <c r="C14" s="643"/>
      <c r="L14" s="474">
        <f>L13-L11-L10-L12</f>
        <v>9730.3096000000241</v>
      </c>
    </row>
    <row r="15" spans="2:22">
      <c r="C15" s="643"/>
    </row>
    <row r="16" spans="2:22">
      <c r="C16" s="643"/>
    </row>
    <row r="17" spans="2:20">
      <c r="C17" s="643"/>
    </row>
    <row r="18" spans="2:20">
      <c r="C18" s="643"/>
    </row>
    <row r="19" spans="2:20" s="26" customFormat="1">
      <c r="B19" s="648">
        <v>43054</v>
      </c>
      <c r="C19" s="644" t="s">
        <v>291</v>
      </c>
      <c r="D19" s="407" t="s">
        <v>208</v>
      </c>
      <c r="E19" s="644" t="s">
        <v>250</v>
      </c>
      <c r="F19" s="409">
        <v>33600</v>
      </c>
      <c r="G19" s="372">
        <v>1.45</v>
      </c>
      <c r="H19" s="372">
        <f>+F19*G19</f>
        <v>48720</v>
      </c>
      <c r="I19" s="372">
        <f>+H19*0.18</f>
        <v>8769.6</v>
      </c>
      <c r="J19" s="644"/>
      <c r="K19" s="372">
        <f>+I19+H19+0.5</f>
        <v>57490.1</v>
      </c>
      <c r="L19" s="372"/>
      <c r="M19" s="407"/>
      <c r="N19" s="644"/>
      <c r="O19" s="649" t="s">
        <v>124</v>
      </c>
      <c r="P19" s="645"/>
      <c r="Q19" s="646"/>
      <c r="R19" s="647"/>
      <c r="S19" s="644"/>
      <c r="T19" s="644"/>
    </row>
    <row r="20" spans="2:20" s="26" customFormat="1">
      <c r="B20" s="648">
        <v>43068</v>
      </c>
      <c r="C20" s="644" t="s">
        <v>291</v>
      </c>
      <c r="D20" s="407" t="s">
        <v>208</v>
      </c>
      <c r="E20" s="644" t="s">
        <v>250</v>
      </c>
      <c r="F20" s="409">
        <v>32800</v>
      </c>
      <c r="G20" s="372">
        <v>1.45</v>
      </c>
      <c r="H20" s="372">
        <f>+F20*G20</f>
        <v>47560</v>
      </c>
      <c r="I20" s="372">
        <f>+H20*0.18</f>
        <v>8560.7999999999993</v>
      </c>
      <c r="J20" s="644"/>
      <c r="K20" s="372">
        <f>+I20+H20+0.5</f>
        <v>56121.3</v>
      </c>
      <c r="L20" s="372">
        <f>K20*0.985</f>
        <v>55279.480500000005</v>
      </c>
      <c r="M20" s="407"/>
      <c r="N20" s="644"/>
      <c r="O20" s="649" t="s">
        <v>124</v>
      </c>
      <c r="P20" s="645"/>
      <c r="Q20" s="646"/>
      <c r="R20" s="647"/>
      <c r="S20" s="644"/>
      <c r="T20" s="644"/>
    </row>
  </sheetData>
  <pageMargins left="0.17" right="0.46" top="0.74803149606299213" bottom="0.74803149606299213" header="0.31496062992125984" footer="0.31496062992125984"/>
  <pageSetup paperSize="9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48"/>
  <sheetViews>
    <sheetView workbookViewId="0">
      <selection activeCell="J10" sqref="J10"/>
    </sheetView>
  </sheetViews>
  <sheetFormatPr baseColWidth="10" defaultRowHeight="12.75"/>
  <cols>
    <col min="1" max="1" width="10.140625" style="1" bestFit="1" customWidth="1"/>
    <col min="2" max="2" width="17" style="1" bestFit="1" customWidth="1"/>
    <col min="3" max="3" width="3.5703125" style="1" bestFit="1" customWidth="1"/>
    <col min="4" max="4" width="10.140625" style="1" bestFit="1" customWidth="1"/>
    <col min="5" max="5" width="11" style="1" bestFit="1" customWidth="1"/>
    <col min="6" max="6" width="12.28515625" style="1" bestFit="1" customWidth="1"/>
    <col min="7" max="7" width="10.85546875" style="1" bestFit="1" customWidth="1"/>
    <col min="8" max="8" width="12.28515625" style="1" bestFit="1" customWidth="1"/>
    <col min="9" max="10" width="11.42578125" style="1"/>
    <col min="11" max="11" width="17" style="1" bestFit="1" customWidth="1"/>
    <col min="12" max="16384" width="11.42578125" style="1"/>
  </cols>
  <sheetData>
    <row r="1" spans="1:16">
      <c r="A1" s="1026" t="s">
        <v>1108</v>
      </c>
      <c r="B1" s="1026"/>
      <c r="C1" s="1026"/>
      <c r="D1" s="1026"/>
      <c r="E1" s="1026"/>
      <c r="F1" s="1026"/>
      <c r="G1" s="1026"/>
      <c r="H1" s="1026"/>
    </row>
    <row r="2" spans="1:16" ht="13.5" thickBot="1">
      <c r="A2" s="434"/>
      <c r="B2" s="26"/>
      <c r="C2" s="903"/>
      <c r="D2" s="331"/>
      <c r="E2" s="426"/>
      <c r="F2" s="426"/>
      <c r="G2" s="426"/>
      <c r="H2" s="426"/>
    </row>
    <row r="3" spans="1:16">
      <c r="A3" s="1027" t="s">
        <v>328</v>
      </c>
      <c r="B3" s="1028"/>
      <c r="C3" s="686" t="s">
        <v>195</v>
      </c>
      <c r="D3" s="1029">
        <f>291280+D14</f>
        <v>324080</v>
      </c>
      <c r="E3" s="1030"/>
      <c r="F3" s="687">
        <f>417856+F14</f>
        <v>465416</v>
      </c>
      <c r="G3" s="687">
        <f>79392.64+G14</f>
        <v>88429.04</v>
      </c>
      <c r="H3" s="688">
        <f>497248.64+H14</f>
        <v>553845.04</v>
      </c>
    </row>
    <row r="4" spans="1:16">
      <c r="A4" s="1013" t="s">
        <v>329</v>
      </c>
      <c r="B4" s="1014"/>
      <c r="C4" s="689" t="s">
        <v>195</v>
      </c>
      <c r="D4" s="1015">
        <f>442120+D15</f>
        <v>485280</v>
      </c>
      <c r="E4" s="1016"/>
      <c r="F4" s="690">
        <f>727706+F15</f>
        <v>801078</v>
      </c>
      <c r="G4" s="690">
        <f>138264.14+G15</f>
        <v>152204.82</v>
      </c>
      <c r="H4" s="691">
        <f>865971.34+H15</f>
        <v>953284.02</v>
      </c>
    </row>
    <row r="5" spans="1:16">
      <c r="A5" s="1013" t="s">
        <v>330</v>
      </c>
      <c r="B5" s="1014"/>
      <c r="C5" s="689" t="s">
        <v>195</v>
      </c>
      <c r="D5" s="1015">
        <f>13829+D16</f>
        <v>16252</v>
      </c>
      <c r="E5" s="1016"/>
      <c r="F5" s="690">
        <f>456357+F16</f>
        <v>536316</v>
      </c>
      <c r="G5" s="690">
        <f>86707.83+G16</f>
        <v>101900.04000000001</v>
      </c>
      <c r="H5" s="691">
        <f>543064.83+H16</f>
        <v>638216.03999999992</v>
      </c>
    </row>
    <row r="6" spans="1:16">
      <c r="A6" s="1031" t="s">
        <v>1105</v>
      </c>
      <c r="B6" s="1032"/>
      <c r="C6" s="689" t="s">
        <v>195</v>
      </c>
      <c r="D6" s="1015">
        <v>1109</v>
      </c>
      <c r="E6" s="1016"/>
      <c r="F6" s="690">
        <v>3327</v>
      </c>
      <c r="G6" s="690">
        <v>632.13</v>
      </c>
      <c r="H6" s="691">
        <v>3959.13</v>
      </c>
    </row>
    <row r="7" spans="1:16">
      <c r="A7" s="1013" t="s">
        <v>331</v>
      </c>
      <c r="B7" s="1014"/>
      <c r="C7" s="689" t="s">
        <v>195</v>
      </c>
      <c r="D7" s="1015">
        <v>189542</v>
      </c>
      <c r="E7" s="1016"/>
      <c r="F7" s="690">
        <v>838956.3</v>
      </c>
      <c r="G7" s="690">
        <v>159401.69699999999</v>
      </c>
      <c r="H7" s="691">
        <v>998357.99699999997</v>
      </c>
    </row>
    <row r="8" spans="1:16">
      <c r="A8" s="1022" t="s">
        <v>77</v>
      </c>
      <c r="B8" s="1023"/>
      <c r="C8" s="1023"/>
      <c r="D8" s="1023"/>
      <c r="E8" s="1023"/>
      <c r="F8" s="692">
        <f>SUM(F3:F7)</f>
        <v>2645093.2999999998</v>
      </c>
      <c r="G8" s="692">
        <f>SUM(G3:G7)</f>
        <v>502567.72700000001</v>
      </c>
      <c r="H8" s="693">
        <f>SUM(H3:H7)</f>
        <v>3147662.227</v>
      </c>
      <c r="K8" s="3"/>
    </row>
    <row r="9" spans="1:16">
      <c r="A9" s="1017" t="s">
        <v>332</v>
      </c>
      <c r="B9" s="1018"/>
      <c r="C9" s="1018"/>
      <c r="D9" s="1018"/>
      <c r="E9" s="1018"/>
      <c r="F9" s="1018"/>
      <c r="G9" s="1018"/>
      <c r="H9" s="693">
        <v>2616640.96</v>
      </c>
      <c r="K9" s="3"/>
    </row>
    <row r="10" spans="1:16" ht="13.5" thickBot="1">
      <c r="A10" s="1024" t="s">
        <v>333</v>
      </c>
      <c r="B10" s="1025"/>
      <c r="C10" s="1025"/>
      <c r="D10" s="1025"/>
      <c r="E10" s="1025"/>
      <c r="F10" s="1025"/>
      <c r="G10" s="1025"/>
      <c r="H10" s="694">
        <f>+H8-H9</f>
        <v>531021.26699999999</v>
      </c>
      <c r="J10" s="3"/>
    </row>
    <row r="11" spans="1:16" ht="13.5" thickBot="1">
      <c r="A11" s="434"/>
      <c r="B11" s="26"/>
      <c r="C11" s="903"/>
      <c r="D11" s="331"/>
      <c r="E11" s="426"/>
      <c r="F11" s="426"/>
      <c r="G11" s="426"/>
      <c r="H11" s="426"/>
    </row>
    <row r="12" spans="1:16">
      <c r="A12" s="1019" t="s">
        <v>334</v>
      </c>
      <c r="B12" s="1020"/>
      <c r="C12" s="1020"/>
      <c r="D12" s="1020"/>
      <c r="E12" s="1020"/>
      <c r="F12" s="1020"/>
      <c r="G12" s="1020"/>
      <c r="H12" s="1021"/>
    </row>
    <row r="13" spans="1:16" s="44" customFormat="1">
      <c r="A13" s="823">
        <v>43066</v>
      </c>
      <c r="B13" s="295" t="s">
        <v>266</v>
      </c>
      <c r="C13" s="463" t="s">
        <v>195</v>
      </c>
      <c r="D13" s="464">
        <v>13620</v>
      </c>
      <c r="E13" s="306">
        <v>0.3</v>
      </c>
      <c r="F13" s="306">
        <f t="shared" ref="F13" si="0">+D13*E13</f>
        <v>4086</v>
      </c>
      <c r="G13" s="306">
        <f t="shared" ref="G13" si="1">+F13*0.19</f>
        <v>776.34</v>
      </c>
      <c r="H13" s="695">
        <f t="shared" ref="H13" si="2">+G13+F13</f>
        <v>4862.34</v>
      </c>
      <c r="I13" s="295"/>
      <c r="J13" s="463"/>
      <c r="K13" s="463"/>
      <c r="L13" s="297"/>
      <c r="M13" s="43"/>
      <c r="N13" s="60"/>
      <c r="O13" s="816"/>
      <c r="P13" s="480"/>
    </row>
    <row r="14" spans="1:16" s="44" customFormat="1">
      <c r="A14" s="823">
        <v>43278</v>
      </c>
      <c r="B14" s="295" t="s">
        <v>302</v>
      </c>
      <c r="C14" s="463" t="s">
        <v>195</v>
      </c>
      <c r="D14" s="464">
        <v>32800</v>
      </c>
      <c r="E14" s="306">
        <v>1.45</v>
      </c>
      <c r="F14" s="306">
        <f>+D14*E14</f>
        <v>47560</v>
      </c>
      <c r="G14" s="306">
        <f>+F14*0.19</f>
        <v>9036.4</v>
      </c>
      <c r="H14" s="695">
        <f>+F14+G14</f>
        <v>56596.4</v>
      </c>
      <c r="I14" s="295"/>
      <c r="J14" s="815"/>
      <c r="K14" s="463"/>
      <c r="L14" s="297"/>
      <c r="M14" s="43"/>
      <c r="O14" s="817"/>
      <c r="P14" s="475"/>
    </row>
    <row r="15" spans="1:16" s="44" customFormat="1">
      <c r="A15" s="823">
        <v>43287</v>
      </c>
      <c r="B15" s="295" t="s">
        <v>208</v>
      </c>
      <c r="C15" s="463" t="s">
        <v>195</v>
      </c>
      <c r="D15" s="464">
        <v>43160</v>
      </c>
      <c r="E15" s="306">
        <v>1.7</v>
      </c>
      <c r="F15" s="306">
        <f>+D15*E15</f>
        <v>73372</v>
      </c>
      <c r="G15" s="306">
        <f>+F15*0.19</f>
        <v>13940.68</v>
      </c>
      <c r="H15" s="695">
        <f>+F15+G15</f>
        <v>87312.68</v>
      </c>
      <c r="I15" s="295"/>
      <c r="J15" s="815"/>
      <c r="K15" s="463"/>
      <c r="L15" s="297"/>
      <c r="M15" s="43"/>
      <c r="O15" s="817"/>
      <c r="P15" s="475"/>
    </row>
    <row r="16" spans="1:16" s="44" customFormat="1">
      <c r="A16" s="823">
        <v>43297</v>
      </c>
      <c r="B16" s="295" t="s">
        <v>198</v>
      </c>
      <c r="C16" s="463" t="s">
        <v>195</v>
      </c>
      <c r="D16" s="464">
        <v>2423</v>
      </c>
      <c r="E16" s="306">
        <v>33</v>
      </c>
      <c r="F16" s="306">
        <f>+D16*E16</f>
        <v>79959</v>
      </c>
      <c r="G16" s="306">
        <f>+F16*0.19</f>
        <v>15192.210000000001</v>
      </c>
      <c r="H16" s="695">
        <f>+F16+G16</f>
        <v>95151.21</v>
      </c>
      <c r="I16" s="295"/>
      <c r="J16" s="815"/>
      <c r="K16" s="463"/>
      <c r="L16" s="297"/>
      <c r="M16" s="43"/>
      <c r="O16" s="817"/>
      <c r="P16" s="475"/>
    </row>
    <row r="17" spans="1:17" s="44" customFormat="1" ht="13.5" thickBot="1">
      <c r="A17" s="824"/>
      <c r="B17" s="818"/>
      <c r="C17" s="819"/>
      <c r="D17" s="820"/>
      <c r="E17" s="821"/>
      <c r="F17" s="821"/>
      <c r="G17" s="821"/>
      <c r="H17" s="822"/>
      <c r="J17" s="815"/>
      <c r="K17" s="815"/>
      <c r="L17" s="297"/>
      <c r="M17" s="43"/>
      <c r="N17" s="60"/>
      <c r="O17" s="816"/>
      <c r="P17" s="480"/>
    </row>
    <row r="18" spans="1:17" ht="13.5" thickBot="1">
      <c r="H18" s="904">
        <f>SUM(H13:H17)</f>
        <v>243922.63</v>
      </c>
    </row>
    <row r="20" spans="1:17">
      <c r="A20" s="1026" t="s">
        <v>1109</v>
      </c>
      <c r="B20" s="1026"/>
      <c r="C20" s="1026"/>
      <c r="D20" s="1026"/>
      <c r="E20" s="1026"/>
      <c r="F20" s="1026"/>
      <c r="G20" s="1026"/>
      <c r="H20" s="1026"/>
    </row>
    <row r="21" spans="1:17" ht="13.5" thickBot="1">
      <c r="A21" s="434"/>
      <c r="B21" s="26"/>
      <c r="C21" s="903"/>
      <c r="D21" s="331"/>
      <c r="E21" s="426"/>
      <c r="F21" s="426"/>
      <c r="G21" s="426"/>
      <c r="H21" s="426"/>
    </row>
    <row r="22" spans="1:17">
      <c r="A22" s="1027" t="s">
        <v>328</v>
      </c>
      <c r="B22" s="1028"/>
      <c r="C22" s="686" t="s">
        <v>195</v>
      </c>
      <c r="D22" s="1029">
        <v>0</v>
      </c>
      <c r="E22" s="1030"/>
      <c r="F22" s="687">
        <v>0</v>
      </c>
      <c r="G22" s="687">
        <v>0</v>
      </c>
      <c r="H22" s="688">
        <v>0</v>
      </c>
    </row>
    <row r="23" spans="1:17">
      <c r="A23" s="1013" t="s">
        <v>329</v>
      </c>
      <c r="B23" s="1014"/>
      <c r="C23" s="689" t="s">
        <v>195</v>
      </c>
      <c r="D23" s="1015">
        <f>1159338+D34</f>
        <v>1198298</v>
      </c>
      <c r="E23" s="1016"/>
      <c r="F23" s="690">
        <f>1894128.6+F34</f>
        <v>1960360.6</v>
      </c>
      <c r="G23" s="690">
        <f>359884.434+G34</f>
        <v>372468.51400000002</v>
      </c>
      <c r="H23" s="691">
        <f>2254032.834+H34</f>
        <v>2332849.514</v>
      </c>
    </row>
    <row r="24" spans="1:17">
      <c r="A24" s="1013" t="s">
        <v>330</v>
      </c>
      <c r="B24" s="1014"/>
      <c r="C24" s="689" t="s">
        <v>195</v>
      </c>
      <c r="D24" s="1015">
        <v>531</v>
      </c>
      <c r="E24" s="1016"/>
      <c r="F24" s="690">
        <v>16992</v>
      </c>
      <c r="G24" s="690">
        <v>3228.48</v>
      </c>
      <c r="H24" s="691">
        <v>20221.080000000002</v>
      </c>
    </row>
    <row r="25" spans="1:17">
      <c r="A25" s="1013" t="s">
        <v>331</v>
      </c>
      <c r="B25" s="1014"/>
      <c r="C25" s="689" t="s">
        <v>195</v>
      </c>
      <c r="D25" s="1015">
        <v>8502</v>
      </c>
      <c r="E25" s="1016"/>
      <c r="F25" s="690">
        <v>37408.800000000003</v>
      </c>
      <c r="G25" s="690">
        <v>7107.6719999999996</v>
      </c>
      <c r="H25" s="691">
        <v>44518.872000000003</v>
      </c>
    </row>
    <row r="26" spans="1:17">
      <c r="A26" s="1022" t="s">
        <v>77</v>
      </c>
      <c r="B26" s="1023"/>
      <c r="C26" s="1023"/>
      <c r="D26" s="1023"/>
      <c r="E26" s="1023"/>
      <c r="F26" s="692">
        <f>SUM(F22:F25)</f>
        <v>2014761.4000000001</v>
      </c>
      <c r="G26" s="692">
        <f>SUM(G22:G25)</f>
        <v>382804.66600000003</v>
      </c>
      <c r="H26" s="693">
        <f>SUM(H22:H25)</f>
        <v>2397589.466</v>
      </c>
    </row>
    <row r="27" spans="1:17">
      <c r="A27" s="1017" t="s">
        <v>332</v>
      </c>
      <c r="B27" s="1018"/>
      <c r="C27" s="1018"/>
      <c r="D27" s="1018"/>
      <c r="E27" s="1018"/>
      <c r="F27" s="1018"/>
      <c r="G27" s="1018"/>
      <c r="H27" s="693">
        <v>2084183.906</v>
      </c>
    </row>
    <row r="28" spans="1:17" ht="13.5" thickBot="1">
      <c r="A28" s="1024" t="s">
        <v>333</v>
      </c>
      <c r="B28" s="1025"/>
      <c r="C28" s="1025"/>
      <c r="D28" s="1025"/>
      <c r="E28" s="1025"/>
      <c r="F28" s="1025"/>
      <c r="G28" s="1025"/>
      <c r="H28" s="694">
        <f>+H26-H27</f>
        <v>313405.56000000006</v>
      </c>
    </row>
    <row r="29" spans="1:17" ht="13.5" thickBot="1"/>
    <row r="30" spans="1:17">
      <c r="A30" s="1019"/>
      <c r="B30" s="1020"/>
      <c r="C30" s="1020"/>
      <c r="D30" s="1020"/>
      <c r="E30" s="1020"/>
      <c r="F30" s="1020"/>
      <c r="G30" s="1020"/>
      <c r="H30" s="1021"/>
    </row>
    <row r="31" spans="1:17" s="475" customFormat="1">
      <c r="A31" s="828">
        <v>43236</v>
      </c>
      <c r="B31" s="476" t="s">
        <v>208</v>
      </c>
      <c r="C31" s="502" t="s">
        <v>250</v>
      </c>
      <c r="D31" s="503">
        <v>38380</v>
      </c>
      <c r="E31" s="504">
        <v>1.7</v>
      </c>
      <c r="F31" s="504">
        <f t="shared" ref="F31:F34" si="3">D31*E31</f>
        <v>65246</v>
      </c>
      <c r="G31" s="504">
        <f t="shared" ref="G31:G34" si="4">F31*0.19</f>
        <v>12396.74</v>
      </c>
      <c r="H31" s="829">
        <f t="shared" ref="H31:H34" si="5">F31+G31+0.6</f>
        <v>77643.340000000011</v>
      </c>
      <c r="I31" s="476"/>
      <c r="J31" s="476"/>
      <c r="K31" s="502"/>
      <c r="L31" s="504"/>
      <c r="M31" s="505"/>
      <c r="N31" s="479"/>
      <c r="O31" s="482"/>
      <c r="P31" s="479"/>
      <c r="Q31" s="476"/>
    </row>
    <row r="32" spans="1:17" s="475" customFormat="1">
      <c r="A32" s="828">
        <v>43283</v>
      </c>
      <c r="B32" s="476" t="s">
        <v>208</v>
      </c>
      <c r="C32" s="502" t="s">
        <v>250</v>
      </c>
      <c r="D32" s="503">
        <v>35900</v>
      </c>
      <c r="E32" s="504">
        <v>1.7</v>
      </c>
      <c r="F32" s="504">
        <f t="shared" si="3"/>
        <v>61030</v>
      </c>
      <c r="G32" s="504">
        <f t="shared" si="4"/>
        <v>11595.7</v>
      </c>
      <c r="H32" s="829">
        <f t="shared" si="5"/>
        <v>72626.3</v>
      </c>
      <c r="I32" s="476"/>
      <c r="J32" s="476"/>
      <c r="K32" s="502"/>
      <c r="L32" s="504"/>
      <c r="M32" s="505"/>
      <c r="N32" s="479"/>
      <c r="O32" s="482"/>
      <c r="P32" s="479"/>
      <c r="Q32" s="476"/>
    </row>
    <row r="33" spans="1:17" s="475" customFormat="1">
      <c r="A33" s="828">
        <v>43285</v>
      </c>
      <c r="B33" s="476" t="s">
        <v>208</v>
      </c>
      <c r="C33" s="502" t="s">
        <v>250</v>
      </c>
      <c r="D33" s="503">
        <v>41680</v>
      </c>
      <c r="E33" s="504">
        <v>1.7</v>
      </c>
      <c r="F33" s="504">
        <f t="shared" si="3"/>
        <v>70856</v>
      </c>
      <c r="G33" s="504">
        <f t="shared" si="4"/>
        <v>13462.64</v>
      </c>
      <c r="H33" s="829">
        <f t="shared" si="5"/>
        <v>84319.24</v>
      </c>
      <c r="I33" s="476"/>
      <c r="J33" s="476"/>
      <c r="K33" s="502"/>
      <c r="L33" s="504"/>
      <c r="M33" s="505"/>
      <c r="N33" s="479"/>
      <c r="O33" s="482"/>
      <c r="P33" s="479"/>
      <c r="Q33" s="476"/>
    </row>
    <row r="34" spans="1:17" s="475" customFormat="1">
      <c r="A34" s="828">
        <v>43291</v>
      </c>
      <c r="B34" s="476" t="s">
        <v>208</v>
      </c>
      <c r="C34" s="502" t="s">
        <v>250</v>
      </c>
      <c r="D34" s="503">
        <v>38960</v>
      </c>
      <c r="E34" s="504">
        <v>1.7</v>
      </c>
      <c r="F34" s="504">
        <f t="shared" si="3"/>
        <v>66232</v>
      </c>
      <c r="G34" s="504">
        <f t="shared" si="4"/>
        <v>12584.08</v>
      </c>
      <c r="H34" s="829">
        <f t="shared" si="5"/>
        <v>78816.680000000008</v>
      </c>
      <c r="I34" s="476"/>
      <c r="J34" s="476"/>
      <c r="K34" s="502"/>
      <c r="L34" s="504"/>
      <c r="M34" s="505"/>
      <c r="N34" s="479"/>
      <c r="O34" s="482"/>
      <c r="P34" s="479"/>
      <c r="Q34" s="476"/>
    </row>
    <row r="35" spans="1:17" s="475" customFormat="1" ht="13.5" thickBot="1">
      <c r="A35" s="830"/>
      <c r="B35" s="831"/>
      <c r="C35" s="832"/>
      <c r="D35" s="833"/>
      <c r="E35" s="834"/>
      <c r="F35" s="834"/>
      <c r="G35" s="834"/>
      <c r="H35" s="835"/>
      <c r="I35" s="476"/>
      <c r="J35" s="476"/>
      <c r="K35" s="502"/>
      <c r="L35" s="504"/>
      <c r="M35" s="505"/>
      <c r="N35" s="479"/>
      <c r="O35" s="482"/>
      <c r="P35" s="479"/>
      <c r="Q35" s="476"/>
    </row>
    <row r="36" spans="1:17" s="475" customFormat="1">
      <c r="A36" s="501"/>
      <c r="B36" s="476"/>
      <c r="C36" s="502"/>
      <c r="D36" s="503"/>
      <c r="E36" s="504"/>
      <c r="F36" s="504"/>
      <c r="G36" s="504"/>
      <c r="H36" s="504"/>
      <c r="I36" s="476"/>
      <c r="J36" s="476"/>
      <c r="K36" s="502"/>
      <c r="L36" s="504"/>
      <c r="M36" s="505"/>
      <c r="N36" s="479"/>
      <c r="O36" s="482"/>
      <c r="P36" s="479"/>
      <c r="Q36" s="476"/>
    </row>
    <row r="37" spans="1:17">
      <c r="A37" s="1026" t="s">
        <v>1110</v>
      </c>
      <c r="B37" s="1026"/>
      <c r="C37" s="1026"/>
      <c r="D37" s="1026"/>
      <c r="E37" s="1026"/>
      <c r="F37" s="1026"/>
      <c r="G37" s="1026"/>
      <c r="H37" s="1026"/>
    </row>
    <row r="38" spans="1:17" ht="13.5" thickBot="1">
      <c r="A38" s="434"/>
      <c r="B38" s="26"/>
      <c r="C38" s="903"/>
      <c r="D38" s="331"/>
      <c r="E38" s="426"/>
      <c r="F38" s="426"/>
      <c r="G38" s="426"/>
      <c r="H38" s="426"/>
    </row>
    <row r="39" spans="1:17">
      <c r="A39" s="1027" t="s">
        <v>328</v>
      </c>
      <c r="B39" s="1028"/>
      <c r="C39" s="686" t="s">
        <v>195</v>
      </c>
      <c r="D39" s="1029">
        <v>0</v>
      </c>
      <c r="E39" s="1030"/>
      <c r="F39" s="687">
        <v>0</v>
      </c>
      <c r="G39" s="687">
        <v>0</v>
      </c>
      <c r="H39" s="688">
        <v>0</v>
      </c>
    </row>
    <row r="40" spans="1:17">
      <c r="A40" s="1013" t="s">
        <v>329</v>
      </c>
      <c r="B40" s="1014"/>
      <c r="C40" s="689" t="s">
        <v>195</v>
      </c>
      <c r="D40" s="1015">
        <f>367820+D47</f>
        <v>405080</v>
      </c>
      <c r="E40" s="1016"/>
      <c r="F40" s="690">
        <f>586310+F47</f>
        <v>647789</v>
      </c>
      <c r="G40" s="690">
        <f>111398.9+G47</f>
        <v>123079.90999999999</v>
      </c>
      <c r="H40" s="691">
        <f>702686.696+H47</f>
        <v>775846.70600000001</v>
      </c>
    </row>
    <row r="41" spans="1:17">
      <c r="A41" s="1013" t="s">
        <v>330</v>
      </c>
      <c r="B41" s="1014"/>
      <c r="C41" s="689" t="s">
        <v>195</v>
      </c>
      <c r="D41" s="1015">
        <v>0</v>
      </c>
      <c r="E41" s="1016"/>
      <c r="F41" s="690">
        <v>0</v>
      </c>
      <c r="G41" s="690">
        <v>0</v>
      </c>
      <c r="H41" s="691">
        <v>0</v>
      </c>
    </row>
    <row r="42" spans="1:17">
      <c r="A42" s="1013" t="s">
        <v>331</v>
      </c>
      <c r="B42" s="1014"/>
      <c r="C42" s="689" t="s">
        <v>195</v>
      </c>
      <c r="D42" s="1015">
        <v>0</v>
      </c>
      <c r="E42" s="1016"/>
      <c r="F42" s="690">
        <v>0</v>
      </c>
      <c r="G42" s="690">
        <v>0</v>
      </c>
      <c r="H42" s="691">
        <v>0</v>
      </c>
    </row>
    <row r="43" spans="1:17">
      <c r="A43" s="1022" t="s">
        <v>77</v>
      </c>
      <c r="B43" s="1023"/>
      <c r="C43" s="1023"/>
      <c r="D43" s="1023"/>
      <c r="E43" s="1023"/>
      <c r="F43" s="692">
        <f>SUM(F39:F42)</f>
        <v>647789</v>
      </c>
      <c r="G43" s="692">
        <f>SUM(G39:G42)</f>
        <v>123079.90999999999</v>
      </c>
      <c r="H43" s="693">
        <f>SUM(H39:H42)</f>
        <v>775846.70600000001</v>
      </c>
    </row>
    <row r="44" spans="1:17">
      <c r="A44" s="1017" t="s">
        <v>332</v>
      </c>
      <c r="B44" s="1018"/>
      <c r="C44" s="1018"/>
      <c r="D44" s="1018"/>
      <c r="E44" s="1018"/>
      <c r="F44" s="1018"/>
      <c r="G44" s="1018"/>
      <c r="H44" s="693">
        <v>702686.696</v>
      </c>
    </row>
    <row r="45" spans="1:17" ht="13.5" thickBot="1">
      <c r="A45" s="1024" t="s">
        <v>333</v>
      </c>
      <c r="B45" s="1025"/>
      <c r="C45" s="1025"/>
      <c r="D45" s="1025"/>
      <c r="E45" s="1025"/>
      <c r="F45" s="1025"/>
      <c r="G45" s="1025"/>
      <c r="H45" s="694">
        <f>+H43-H44</f>
        <v>73160.010000000009</v>
      </c>
    </row>
    <row r="46" spans="1:17" ht="13.5" thickBot="1"/>
    <row r="47" spans="1:17" s="475" customFormat="1">
      <c r="A47" s="905">
        <v>43292</v>
      </c>
      <c r="B47" s="906" t="s">
        <v>208</v>
      </c>
      <c r="C47" s="907" t="s">
        <v>195</v>
      </c>
      <c r="D47" s="908">
        <v>37260</v>
      </c>
      <c r="E47" s="909">
        <v>1.65</v>
      </c>
      <c r="F47" s="909">
        <f>+D47*E47</f>
        <v>61479</v>
      </c>
      <c r="G47" s="909">
        <f>+F47*0.19</f>
        <v>11681.01</v>
      </c>
      <c r="H47" s="910">
        <f>+F47+G47</f>
        <v>73160.009999999995</v>
      </c>
      <c r="I47" s="476"/>
      <c r="J47" s="476"/>
      <c r="K47" s="502"/>
      <c r="L47" s="504"/>
      <c r="M47" s="505"/>
      <c r="N47" s="479"/>
      <c r="O47" s="482"/>
      <c r="P47" s="479"/>
      <c r="Q47" s="476"/>
    </row>
    <row r="48" spans="1:17" ht="13.5" thickBot="1">
      <c r="A48" s="911"/>
      <c r="B48" s="912"/>
      <c r="C48" s="912"/>
      <c r="D48" s="912"/>
      <c r="E48" s="912"/>
      <c r="F48" s="912"/>
      <c r="G48" s="912"/>
      <c r="H48" s="913"/>
    </row>
  </sheetData>
  <sortState ref="A87:H101">
    <sortCondition ref="A93:A95"/>
  </sortState>
  <mergeCells count="40">
    <mergeCell ref="D3:E3"/>
    <mergeCell ref="D4:E4"/>
    <mergeCell ref="D5:E5"/>
    <mergeCell ref="D7:E7"/>
    <mergeCell ref="A3:B3"/>
    <mergeCell ref="A4:B4"/>
    <mergeCell ref="A5:B5"/>
    <mergeCell ref="A6:B6"/>
    <mergeCell ref="A1:H1"/>
    <mergeCell ref="A20:H20"/>
    <mergeCell ref="A22:B22"/>
    <mergeCell ref="D22:E22"/>
    <mergeCell ref="A45:G45"/>
    <mergeCell ref="A41:B41"/>
    <mergeCell ref="D41:E41"/>
    <mergeCell ref="A42:B42"/>
    <mergeCell ref="D42:E42"/>
    <mergeCell ref="A43:E43"/>
    <mergeCell ref="A44:G44"/>
    <mergeCell ref="D6:E6"/>
    <mergeCell ref="A39:B39"/>
    <mergeCell ref="D39:E39"/>
    <mergeCell ref="A40:B40"/>
    <mergeCell ref="D40:E40"/>
    <mergeCell ref="A26:E26"/>
    <mergeCell ref="A28:G28"/>
    <mergeCell ref="A37:H37"/>
    <mergeCell ref="A27:G27"/>
    <mergeCell ref="A30:H30"/>
    <mergeCell ref="A24:B24"/>
    <mergeCell ref="D24:E24"/>
    <mergeCell ref="A7:B7"/>
    <mergeCell ref="A9:G9"/>
    <mergeCell ref="A25:B25"/>
    <mergeCell ref="D25:E25"/>
    <mergeCell ref="A23:B23"/>
    <mergeCell ref="D23:E23"/>
    <mergeCell ref="A12:H12"/>
    <mergeCell ref="A8:E8"/>
    <mergeCell ref="A10:G10"/>
  </mergeCells>
  <pageMargins left="0.7" right="0.7" top="0.38" bottom="0.44" header="0.3" footer="0.3"/>
  <pageSetup paperSize="9" orientation="portrait" horizontalDpi="180" verticalDpi="180" r:id="rId1"/>
  <ignoredErrors>
    <ignoredError sqref="E25 E23 E24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D1160"/>
  <sheetViews>
    <sheetView topLeftCell="A1129" workbookViewId="0">
      <selection activeCell="D1160" sqref="A1160:D1160"/>
    </sheetView>
  </sheetViews>
  <sheetFormatPr baseColWidth="10" defaultRowHeight="15"/>
  <cols>
    <col min="1" max="1" width="8.140625" style="575" bestFit="1" customWidth="1"/>
    <col min="2" max="2" width="34.42578125" style="575" bestFit="1" customWidth="1"/>
    <col min="3" max="3" width="10.7109375" style="575" bestFit="1" customWidth="1"/>
    <col min="4" max="4" width="12.42578125" style="46" bestFit="1" customWidth="1"/>
    <col min="5" max="16384" width="11.42578125" style="575"/>
  </cols>
  <sheetData>
    <row r="1" spans="1:4" s="1045" customFormat="1" ht="15.75" thickBot="1">
      <c r="A1" s="1058" t="s">
        <v>1036</v>
      </c>
      <c r="B1" s="1059" t="s">
        <v>1035</v>
      </c>
      <c r="C1" s="1059" t="s">
        <v>1034</v>
      </c>
      <c r="D1" s="1060" t="s">
        <v>1033</v>
      </c>
    </row>
    <row r="2" spans="1:4">
      <c r="A2" s="1054" t="s">
        <v>1009</v>
      </c>
      <c r="B2" s="1055" t="s">
        <v>1008</v>
      </c>
      <c r="C2" s="1056">
        <v>43291</v>
      </c>
      <c r="D2" s="1057">
        <v>438</v>
      </c>
    </row>
    <row r="3" spans="1:4">
      <c r="A3" s="1050" t="s">
        <v>732</v>
      </c>
      <c r="B3" s="1051" t="s">
        <v>731</v>
      </c>
      <c r="C3" s="1052">
        <v>43291</v>
      </c>
      <c r="D3" s="1053">
        <v>888.23</v>
      </c>
    </row>
    <row r="4" spans="1:4">
      <c r="A4" s="1050" t="s">
        <v>743</v>
      </c>
      <c r="B4" s="1051" t="s">
        <v>742</v>
      </c>
      <c r="C4" s="1052">
        <v>43291</v>
      </c>
      <c r="D4" s="1053">
        <v>1959.5</v>
      </c>
    </row>
    <row r="5" spans="1:4">
      <c r="A5" s="1050" t="s">
        <v>1002</v>
      </c>
      <c r="B5" s="1051" t="s">
        <v>1001</v>
      </c>
      <c r="C5" s="1052">
        <v>43291</v>
      </c>
      <c r="D5" s="1053">
        <v>8779.7999999999993</v>
      </c>
    </row>
    <row r="6" spans="1:4">
      <c r="A6" s="1050" t="s">
        <v>732</v>
      </c>
      <c r="B6" s="1051" t="s">
        <v>731</v>
      </c>
      <c r="C6" s="1052">
        <v>43292</v>
      </c>
      <c r="D6" s="1053">
        <v>263.44</v>
      </c>
    </row>
    <row r="7" spans="1:4">
      <c r="A7" s="1050" t="s">
        <v>546</v>
      </c>
      <c r="B7" s="1051" t="s">
        <v>795</v>
      </c>
      <c r="C7" s="1052">
        <v>43293</v>
      </c>
      <c r="D7" s="1053">
        <v>764.73</v>
      </c>
    </row>
    <row r="8" spans="1:4">
      <c r="A8" s="1050" t="s">
        <v>730</v>
      </c>
      <c r="B8" s="1051" t="s">
        <v>729</v>
      </c>
      <c r="C8" s="1052">
        <v>43293</v>
      </c>
      <c r="D8" s="1053">
        <v>821.25</v>
      </c>
    </row>
    <row r="9" spans="1:4">
      <c r="A9" s="1050" t="s">
        <v>998</v>
      </c>
      <c r="B9" s="1051" t="s">
        <v>532</v>
      </c>
      <c r="C9" s="1052">
        <v>43294</v>
      </c>
      <c r="D9" s="1053">
        <v>1277.82</v>
      </c>
    </row>
    <row r="10" spans="1:4">
      <c r="A10" s="1050" t="s">
        <v>405</v>
      </c>
      <c r="B10" s="1051" t="s">
        <v>404</v>
      </c>
      <c r="C10" s="1052">
        <v>43295</v>
      </c>
      <c r="D10" s="1053">
        <v>1201.48</v>
      </c>
    </row>
    <row r="11" spans="1:4">
      <c r="A11" s="1050" t="s">
        <v>382</v>
      </c>
      <c r="B11" s="1051" t="s">
        <v>381</v>
      </c>
      <c r="C11" s="1052">
        <v>43295</v>
      </c>
      <c r="D11" s="1053">
        <v>1392.51</v>
      </c>
    </row>
    <row r="12" spans="1:4">
      <c r="A12" s="1050" t="s">
        <v>538</v>
      </c>
      <c r="B12" s="1051" t="s">
        <v>537</v>
      </c>
      <c r="C12" s="1052">
        <v>43295</v>
      </c>
      <c r="D12" s="1053">
        <v>2170</v>
      </c>
    </row>
    <row r="13" spans="1:4">
      <c r="A13" s="1050" t="s">
        <v>749</v>
      </c>
      <c r="B13" s="1051" t="s">
        <v>748</v>
      </c>
      <c r="C13" s="1052">
        <v>43295</v>
      </c>
      <c r="D13" s="1053">
        <v>240</v>
      </c>
    </row>
    <row r="14" spans="1:4">
      <c r="A14" s="1050" t="s">
        <v>468</v>
      </c>
      <c r="B14" s="1051" t="s">
        <v>709</v>
      </c>
      <c r="C14" s="1052">
        <v>43295</v>
      </c>
      <c r="D14" s="1053">
        <v>2000</v>
      </c>
    </row>
    <row r="15" spans="1:4">
      <c r="A15" s="1050" t="s">
        <v>1012</v>
      </c>
      <c r="B15" s="1051" t="s">
        <v>1011</v>
      </c>
      <c r="C15" s="1052">
        <v>43296</v>
      </c>
      <c r="D15" s="1053">
        <v>1877.51</v>
      </c>
    </row>
    <row r="16" spans="1:4">
      <c r="A16" s="1050" t="s">
        <v>997</v>
      </c>
      <c r="B16" s="1051" t="s">
        <v>779</v>
      </c>
      <c r="C16" s="1052">
        <v>43296</v>
      </c>
      <c r="D16" s="1053">
        <v>396.81</v>
      </c>
    </row>
    <row r="17" spans="1:4">
      <c r="A17" s="1050" t="s">
        <v>1116</v>
      </c>
      <c r="B17" s="1051" t="s">
        <v>1115</v>
      </c>
      <c r="C17" s="1052">
        <v>43296</v>
      </c>
      <c r="D17" s="1053">
        <v>1200</v>
      </c>
    </row>
    <row r="18" spans="1:4">
      <c r="A18" s="1050" t="s">
        <v>778</v>
      </c>
      <c r="B18" s="1051" t="s">
        <v>777</v>
      </c>
      <c r="C18" s="1052">
        <v>43296</v>
      </c>
      <c r="D18" s="1053">
        <v>687.28</v>
      </c>
    </row>
    <row r="19" spans="1:4">
      <c r="A19" s="1050" t="s">
        <v>503</v>
      </c>
      <c r="B19" s="1051" t="s">
        <v>501</v>
      </c>
      <c r="C19" s="1052">
        <v>43296</v>
      </c>
      <c r="D19" s="1053">
        <v>4000</v>
      </c>
    </row>
    <row r="20" spans="1:4">
      <c r="A20" s="1050" t="s">
        <v>996</v>
      </c>
      <c r="B20" s="1051" t="s">
        <v>995</v>
      </c>
      <c r="C20" s="1052">
        <v>43296</v>
      </c>
      <c r="D20" s="1053">
        <v>456.13</v>
      </c>
    </row>
    <row r="21" spans="1:4">
      <c r="A21" s="1050" t="s">
        <v>369</v>
      </c>
      <c r="B21" s="1051" t="s">
        <v>368</v>
      </c>
      <c r="C21" s="1052">
        <v>43296</v>
      </c>
      <c r="D21" s="1053">
        <v>5000</v>
      </c>
    </row>
    <row r="22" spans="1:4">
      <c r="A22" s="1050" t="s">
        <v>695</v>
      </c>
      <c r="B22" s="1051" t="s">
        <v>694</v>
      </c>
      <c r="C22" s="1052">
        <v>43296</v>
      </c>
      <c r="D22" s="1053">
        <v>6000</v>
      </c>
    </row>
    <row r="23" spans="1:4">
      <c r="A23" s="1050" t="s">
        <v>994</v>
      </c>
      <c r="B23" s="1051" t="s">
        <v>772</v>
      </c>
      <c r="C23" s="1052">
        <v>43296</v>
      </c>
      <c r="D23" s="1053">
        <v>2143.46</v>
      </c>
    </row>
    <row r="24" spans="1:4">
      <c r="A24" s="1050" t="s">
        <v>771</v>
      </c>
      <c r="B24" s="1051" t="s">
        <v>770</v>
      </c>
      <c r="C24" s="1052">
        <v>43296</v>
      </c>
      <c r="D24" s="1053">
        <v>3316.98</v>
      </c>
    </row>
    <row r="25" spans="1:4">
      <c r="A25" s="1050" t="s">
        <v>613</v>
      </c>
      <c r="B25" s="1051" t="s">
        <v>612</v>
      </c>
      <c r="C25" s="1052">
        <v>43296</v>
      </c>
      <c r="D25" s="1053">
        <v>2320.89</v>
      </c>
    </row>
    <row r="26" spans="1:4">
      <c r="A26" s="1050" t="s">
        <v>357</v>
      </c>
      <c r="B26" s="1051" t="s">
        <v>378</v>
      </c>
      <c r="C26" s="1052">
        <v>43296</v>
      </c>
      <c r="D26" s="1053">
        <v>1750</v>
      </c>
    </row>
    <row r="27" spans="1:4">
      <c r="A27" s="1050" t="s">
        <v>384</v>
      </c>
      <c r="B27" s="1051" t="s">
        <v>455</v>
      </c>
      <c r="C27" s="1052">
        <v>43296</v>
      </c>
      <c r="D27" s="1053">
        <v>645</v>
      </c>
    </row>
    <row r="28" spans="1:4">
      <c r="A28" s="1050" t="s">
        <v>384</v>
      </c>
      <c r="B28" s="1051" t="s">
        <v>455</v>
      </c>
      <c r="C28" s="1052">
        <v>43296</v>
      </c>
      <c r="D28" s="1053">
        <v>1000</v>
      </c>
    </row>
    <row r="29" spans="1:4">
      <c r="A29" s="1050" t="s">
        <v>384</v>
      </c>
      <c r="B29" s="1051" t="s">
        <v>455</v>
      </c>
      <c r="C29" s="1052">
        <v>43296</v>
      </c>
      <c r="D29" s="1053">
        <v>900.6</v>
      </c>
    </row>
    <row r="30" spans="1:4">
      <c r="A30" s="1050" t="s">
        <v>993</v>
      </c>
      <c r="B30" s="1051" t="s">
        <v>992</v>
      </c>
      <c r="C30" s="1052">
        <v>43296</v>
      </c>
      <c r="D30" s="1053">
        <v>675.54</v>
      </c>
    </row>
    <row r="31" spans="1:4">
      <c r="A31" s="1050" t="s">
        <v>988</v>
      </c>
      <c r="B31" s="1051" t="s">
        <v>1151</v>
      </c>
      <c r="C31" s="1052">
        <v>43296</v>
      </c>
      <c r="D31" s="1053">
        <v>2621.58</v>
      </c>
    </row>
    <row r="32" spans="1:4">
      <c r="A32" s="1050" t="s">
        <v>963</v>
      </c>
      <c r="B32" s="1051" t="s">
        <v>962</v>
      </c>
      <c r="C32" s="1052">
        <v>43296</v>
      </c>
      <c r="D32" s="1053">
        <v>500</v>
      </c>
    </row>
    <row r="33" spans="1:4">
      <c r="A33" s="1050" t="s">
        <v>954</v>
      </c>
      <c r="B33" s="1051" t="s">
        <v>1150</v>
      </c>
      <c r="C33" s="1052">
        <v>43296</v>
      </c>
      <c r="D33" s="1053">
        <v>2000</v>
      </c>
    </row>
    <row r="34" spans="1:4">
      <c r="A34" s="1050" t="s">
        <v>450</v>
      </c>
      <c r="B34" s="1051" t="s">
        <v>449</v>
      </c>
      <c r="C34" s="1052">
        <v>43296</v>
      </c>
      <c r="D34" s="1053">
        <v>1725</v>
      </c>
    </row>
    <row r="35" spans="1:4">
      <c r="A35" s="1050" t="s">
        <v>766</v>
      </c>
      <c r="B35" s="1051" t="s">
        <v>765</v>
      </c>
      <c r="C35" s="1052">
        <v>43296</v>
      </c>
      <c r="D35" s="1053">
        <v>1392.25</v>
      </c>
    </row>
    <row r="36" spans="1:4">
      <c r="A36" s="1050" t="s">
        <v>493</v>
      </c>
      <c r="B36" s="1051" t="s">
        <v>492</v>
      </c>
      <c r="C36" s="1052">
        <v>43296</v>
      </c>
      <c r="D36" s="1053">
        <v>1716.42</v>
      </c>
    </row>
    <row r="37" spans="1:4">
      <c r="A37" s="1050" t="s">
        <v>596</v>
      </c>
      <c r="B37" s="1051" t="s">
        <v>595</v>
      </c>
      <c r="C37" s="1052">
        <v>43296</v>
      </c>
      <c r="D37" s="1053">
        <v>790.82</v>
      </c>
    </row>
    <row r="38" spans="1:4">
      <c r="A38" s="1050" t="s">
        <v>386</v>
      </c>
      <c r="B38" s="1051" t="s">
        <v>594</v>
      </c>
      <c r="C38" s="1052">
        <v>43296</v>
      </c>
      <c r="D38" s="1053">
        <v>668.14</v>
      </c>
    </row>
    <row r="39" spans="1:4">
      <c r="A39" s="1050" t="s">
        <v>903</v>
      </c>
      <c r="B39" s="1051" t="s">
        <v>902</v>
      </c>
      <c r="C39" s="1052">
        <v>43296</v>
      </c>
      <c r="D39" s="1053">
        <v>200</v>
      </c>
    </row>
    <row r="40" spans="1:4">
      <c r="A40" s="1050" t="s">
        <v>903</v>
      </c>
      <c r="B40" s="1051" t="s">
        <v>902</v>
      </c>
      <c r="C40" s="1052">
        <v>43296</v>
      </c>
      <c r="D40" s="1053">
        <v>140</v>
      </c>
    </row>
    <row r="41" spans="1:4">
      <c r="A41" s="1050" t="s">
        <v>854</v>
      </c>
      <c r="B41" s="1051" t="s">
        <v>853</v>
      </c>
      <c r="C41" s="1052">
        <v>43296</v>
      </c>
      <c r="D41" s="1053">
        <v>3651.99</v>
      </c>
    </row>
    <row r="42" spans="1:4">
      <c r="A42" s="1050" t="s">
        <v>417</v>
      </c>
      <c r="B42" s="1051" t="s">
        <v>416</v>
      </c>
      <c r="C42" s="1052">
        <v>43296</v>
      </c>
      <c r="D42" s="1053">
        <v>1400</v>
      </c>
    </row>
    <row r="43" spans="1:4">
      <c r="A43" s="1050" t="s">
        <v>763</v>
      </c>
      <c r="B43" s="1051" t="s">
        <v>762</v>
      </c>
      <c r="C43" s="1052">
        <v>43296</v>
      </c>
      <c r="D43" s="1053">
        <v>1400</v>
      </c>
    </row>
    <row r="44" spans="1:4">
      <c r="A44" s="1050" t="s">
        <v>509</v>
      </c>
      <c r="B44" s="1051" t="s">
        <v>508</v>
      </c>
      <c r="C44" s="1052">
        <v>43296</v>
      </c>
      <c r="D44" s="1053">
        <v>1741.04</v>
      </c>
    </row>
    <row r="45" spans="1:4">
      <c r="A45" s="1050" t="s">
        <v>420</v>
      </c>
      <c r="B45" s="1051" t="s">
        <v>478</v>
      </c>
      <c r="C45" s="1052">
        <v>43296</v>
      </c>
      <c r="D45" s="1053">
        <v>1560</v>
      </c>
    </row>
    <row r="46" spans="1:4">
      <c r="A46" s="1050" t="s">
        <v>363</v>
      </c>
      <c r="B46" s="1051" t="s">
        <v>362</v>
      </c>
      <c r="C46" s="1052">
        <v>43296</v>
      </c>
      <c r="D46" s="1053">
        <v>4400</v>
      </c>
    </row>
    <row r="47" spans="1:4">
      <c r="A47" s="1050" t="s">
        <v>759</v>
      </c>
      <c r="B47" s="1051" t="s">
        <v>990</v>
      </c>
      <c r="C47" s="1052">
        <v>43296</v>
      </c>
      <c r="D47" s="1053">
        <v>644.41999999999996</v>
      </c>
    </row>
    <row r="48" spans="1:4">
      <c r="A48" s="1050" t="s">
        <v>957</v>
      </c>
      <c r="B48" s="1051" t="s">
        <v>721</v>
      </c>
      <c r="C48" s="1052">
        <v>43296</v>
      </c>
      <c r="D48" s="1053">
        <v>4000</v>
      </c>
    </row>
    <row r="49" spans="1:4">
      <c r="A49" s="1050" t="s">
        <v>655</v>
      </c>
      <c r="B49" s="1051" t="s">
        <v>654</v>
      </c>
      <c r="C49" s="1052">
        <v>43296</v>
      </c>
      <c r="D49" s="1053">
        <v>1000</v>
      </c>
    </row>
    <row r="50" spans="1:4">
      <c r="A50" s="1050" t="s">
        <v>741</v>
      </c>
      <c r="B50" s="1051" t="s">
        <v>740</v>
      </c>
      <c r="C50" s="1052">
        <v>43296</v>
      </c>
      <c r="D50" s="1053">
        <v>2686</v>
      </c>
    </row>
    <row r="51" spans="1:4">
      <c r="A51" s="1050" t="s">
        <v>758</v>
      </c>
      <c r="B51" s="1051" t="s">
        <v>757</v>
      </c>
      <c r="C51" s="1052">
        <v>43296</v>
      </c>
      <c r="D51" s="1053">
        <v>709.66</v>
      </c>
    </row>
    <row r="52" spans="1:4">
      <c r="A52" s="1050" t="s">
        <v>496</v>
      </c>
      <c r="B52" s="1051" t="s">
        <v>789</v>
      </c>
      <c r="C52" s="1052">
        <v>43296</v>
      </c>
      <c r="D52" s="1053">
        <v>2000</v>
      </c>
    </row>
    <row r="53" spans="1:4">
      <c r="A53" s="1050" t="s">
        <v>989</v>
      </c>
      <c r="B53" s="1051" t="s">
        <v>584</v>
      </c>
      <c r="C53" s="1052">
        <v>43296</v>
      </c>
      <c r="D53" s="1053">
        <v>1700</v>
      </c>
    </row>
    <row r="54" spans="1:4">
      <c r="A54" s="1050" t="s">
        <v>517</v>
      </c>
      <c r="B54" s="1051" t="s">
        <v>516</v>
      </c>
      <c r="C54" s="1052">
        <v>43296</v>
      </c>
      <c r="D54" s="1053">
        <v>645</v>
      </c>
    </row>
    <row r="55" spans="1:4">
      <c r="A55" s="1050" t="s">
        <v>583</v>
      </c>
      <c r="B55" s="1051" t="s">
        <v>582</v>
      </c>
      <c r="C55" s="1052">
        <v>43296</v>
      </c>
      <c r="D55" s="1053">
        <v>4940.92</v>
      </c>
    </row>
    <row r="56" spans="1:4">
      <c r="A56" s="1050" t="s">
        <v>480</v>
      </c>
      <c r="B56" s="1051" t="s">
        <v>479</v>
      </c>
      <c r="C56" s="1052">
        <v>43296</v>
      </c>
      <c r="D56" s="1053">
        <v>2470.4299999999998</v>
      </c>
    </row>
    <row r="57" spans="1:4">
      <c r="A57" s="1050" t="s">
        <v>887</v>
      </c>
      <c r="B57" s="1051" t="s">
        <v>886</v>
      </c>
      <c r="C57" s="1052">
        <v>43296</v>
      </c>
      <c r="D57" s="1053">
        <v>386.52</v>
      </c>
    </row>
    <row r="58" spans="1:4">
      <c r="A58" s="1046" t="s">
        <v>1234</v>
      </c>
      <c r="B58" s="1047" t="s">
        <v>1233</v>
      </c>
      <c r="C58" s="1048">
        <v>43297</v>
      </c>
      <c r="D58" s="1049">
        <v>590.15</v>
      </c>
    </row>
    <row r="59" spans="1:4">
      <c r="A59" s="1050" t="s">
        <v>745</v>
      </c>
      <c r="B59" s="1051" t="s">
        <v>744</v>
      </c>
      <c r="C59" s="1052">
        <v>43297</v>
      </c>
      <c r="D59" s="1053">
        <v>400</v>
      </c>
    </row>
    <row r="60" spans="1:4">
      <c r="A60" s="1050" t="s">
        <v>500</v>
      </c>
      <c r="B60" s="1051" t="s">
        <v>783</v>
      </c>
      <c r="C60" s="1052">
        <v>43297</v>
      </c>
      <c r="D60" s="1053">
        <v>1326</v>
      </c>
    </row>
    <row r="61" spans="1:4">
      <c r="A61" s="1050" t="s">
        <v>761</v>
      </c>
      <c r="B61" s="1051" t="s">
        <v>760</v>
      </c>
      <c r="C61" s="1052">
        <v>43297</v>
      </c>
      <c r="D61" s="1053">
        <v>3288.83</v>
      </c>
    </row>
    <row r="62" spans="1:4">
      <c r="A62" s="1050" t="s">
        <v>686</v>
      </c>
      <c r="B62" s="1051" t="s">
        <v>685</v>
      </c>
      <c r="C62" s="1052">
        <v>43298</v>
      </c>
      <c r="D62" s="1053">
        <v>282.81</v>
      </c>
    </row>
    <row r="63" spans="1:4">
      <c r="A63" s="1046" t="s">
        <v>1009</v>
      </c>
      <c r="B63" s="1047" t="s">
        <v>1008</v>
      </c>
      <c r="C63" s="1048">
        <v>43298</v>
      </c>
      <c r="D63" s="1049">
        <v>438</v>
      </c>
    </row>
    <row r="64" spans="1:4">
      <c r="A64" s="1050" t="s">
        <v>385</v>
      </c>
      <c r="B64" s="1051" t="s">
        <v>364</v>
      </c>
      <c r="C64" s="1052">
        <v>43298</v>
      </c>
      <c r="D64" s="1053">
        <v>1100</v>
      </c>
    </row>
    <row r="65" spans="1:4">
      <c r="A65" s="1050" t="s">
        <v>538</v>
      </c>
      <c r="B65" s="1051" t="s">
        <v>537</v>
      </c>
      <c r="C65" s="1052">
        <v>43298</v>
      </c>
      <c r="D65" s="1053">
        <v>2156.98</v>
      </c>
    </row>
    <row r="66" spans="1:4">
      <c r="A66" s="1050" t="s">
        <v>396</v>
      </c>
      <c r="B66" s="1051" t="s">
        <v>395</v>
      </c>
      <c r="C66" s="1052">
        <v>43298</v>
      </c>
      <c r="D66" s="1053">
        <v>800</v>
      </c>
    </row>
    <row r="67" spans="1:4">
      <c r="A67" s="1050" t="s">
        <v>987</v>
      </c>
      <c r="B67" s="1051" t="s">
        <v>986</v>
      </c>
      <c r="C67" s="1052">
        <v>43299</v>
      </c>
      <c r="D67" s="1053">
        <v>390.62</v>
      </c>
    </row>
    <row r="68" spans="1:4">
      <c r="A68" s="1050" t="s">
        <v>985</v>
      </c>
      <c r="B68" s="1051" t="s">
        <v>774</v>
      </c>
      <c r="C68" s="1052">
        <v>43299</v>
      </c>
      <c r="D68" s="1053">
        <v>1025.4000000000001</v>
      </c>
    </row>
    <row r="69" spans="1:4">
      <c r="A69" s="1050" t="s">
        <v>984</v>
      </c>
      <c r="B69" s="1051" t="s">
        <v>983</v>
      </c>
      <c r="C69" s="1052">
        <v>43299</v>
      </c>
      <c r="D69" s="1053">
        <v>1091.81</v>
      </c>
    </row>
    <row r="70" spans="1:4">
      <c r="A70" s="1050" t="s">
        <v>982</v>
      </c>
      <c r="B70" s="1051" t="s">
        <v>981</v>
      </c>
      <c r="C70" s="1052">
        <v>43299</v>
      </c>
      <c r="D70" s="1053">
        <v>1000</v>
      </c>
    </row>
    <row r="71" spans="1:4">
      <c r="A71" s="1050" t="s">
        <v>730</v>
      </c>
      <c r="B71" s="1051" t="s">
        <v>729</v>
      </c>
      <c r="C71" s="1052">
        <v>43299</v>
      </c>
      <c r="D71" s="1053">
        <v>821.25</v>
      </c>
    </row>
    <row r="72" spans="1:4">
      <c r="A72" s="1050" t="s">
        <v>980</v>
      </c>
      <c r="B72" s="1051" t="s">
        <v>979</v>
      </c>
      <c r="C72" s="1052">
        <v>43299</v>
      </c>
      <c r="D72" s="1053">
        <v>523.52</v>
      </c>
    </row>
    <row r="73" spans="1:4">
      <c r="A73" s="1050" t="s">
        <v>405</v>
      </c>
      <c r="B73" s="1051" t="s">
        <v>404</v>
      </c>
      <c r="C73" s="1052">
        <v>43300</v>
      </c>
      <c r="D73" s="1053">
        <v>1201.48</v>
      </c>
    </row>
    <row r="74" spans="1:4">
      <c r="A74" s="1050" t="s">
        <v>684</v>
      </c>
      <c r="B74" s="1051" t="s">
        <v>457</v>
      </c>
      <c r="C74" s="1052">
        <v>43300</v>
      </c>
      <c r="D74" s="1053">
        <v>865.62</v>
      </c>
    </row>
    <row r="75" spans="1:4">
      <c r="A75" s="1050" t="s">
        <v>954</v>
      </c>
      <c r="B75" s="1051" t="s">
        <v>1150</v>
      </c>
      <c r="C75" s="1052">
        <v>43300</v>
      </c>
      <c r="D75" s="1053">
        <v>1193.48</v>
      </c>
    </row>
    <row r="76" spans="1:4">
      <c r="A76" s="1050" t="s">
        <v>749</v>
      </c>
      <c r="B76" s="1051" t="s">
        <v>748</v>
      </c>
      <c r="C76" s="1052">
        <v>43300</v>
      </c>
      <c r="D76" s="1053">
        <v>500</v>
      </c>
    </row>
    <row r="77" spans="1:4">
      <c r="A77" s="1050" t="s">
        <v>978</v>
      </c>
      <c r="B77" s="1051" t="s">
        <v>977</v>
      </c>
      <c r="C77" s="1052">
        <v>43300</v>
      </c>
      <c r="D77" s="1053">
        <v>823.33</v>
      </c>
    </row>
    <row r="78" spans="1:4">
      <c r="A78" s="1050" t="s">
        <v>444</v>
      </c>
      <c r="B78" s="1051" t="s">
        <v>443</v>
      </c>
      <c r="C78" s="1052">
        <v>43300</v>
      </c>
      <c r="D78" s="1053">
        <v>2000</v>
      </c>
    </row>
    <row r="79" spans="1:4">
      <c r="A79" s="1050" t="s">
        <v>875</v>
      </c>
      <c r="B79" s="1051" t="s">
        <v>397</v>
      </c>
      <c r="C79" s="1052">
        <v>43301</v>
      </c>
      <c r="D79" s="1053">
        <v>400</v>
      </c>
    </row>
    <row r="80" spans="1:4">
      <c r="A80" s="1050" t="s">
        <v>398</v>
      </c>
      <c r="B80" s="1051" t="s">
        <v>397</v>
      </c>
      <c r="C80" s="1052">
        <v>43301</v>
      </c>
      <c r="D80" s="1053">
        <v>370</v>
      </c>
    </row>
    <row r="81" spans="1:4">
      <c r="A81" s="1050" t="s">
        <v>701</v>
      </c>
      <c r="B81" s="1051" t="s">
        <v>700</v>
      </c>
      <c r="C81" s="1052">
        <v>43301</v>
      </c>
      <c r="D81" s="1053">
        <v>700</v>
      </c>
    </row>
    <row r="82" spans="1:4">
      <c r="A82" s="1050" t="s">
        <v>402</v>
      </c>
      <c r="B82" s="1051" t="s">
        <v>401</v>
      </c>
      <c r="C82" s="1052">
        <v>43301</v>
      </c>
      <c r="D82" s="1053">
        <v>1228</v>
      </c>
    </row>
    <row r="83" spans="1:4">
      <c r="A83" s="1050" t="s">
        <v>373</v>
      </c>
      <c r="B83" s="1051" t="s">
        <v>372</v>
      </c>
      <c r="C83" s="1052">
        <v>43301</v>
      </c>
      <c r="D83" s="1053">
        <v>2427.31</v>
      </c>
    </row>
    <row r="84" spans="1:4">
      <c r="A84" s="1050" t="s">
        <v>809</v>
      </c>
      <c r="B84" s="1051" t="s">
        <v>808</v>
      </c>
      <c r="C84" s="1052">
        <v>43301</v>
      </c>
      <c r="D84" s="1053">
        <v>514.22</v>
      </c>
    </row>
    <row r="85" spans="1:4">
      <c r="A85" s="1050" t="s">
        <v>801</v>
      </c>
      <c r="B85" s="1051" t="s">
        <v>800</v>
      </c>
      <c r="C85" s="1052">
        <v>43301</v>
      </c>
      <c r="D85" s="1053">
        <v>5933.29</v>
      </c>
    </row>
    <row r="86" spans="1:4">
      <c r="A86" s="1050" t="s">
        <v>357</v>
      </c>
      <c r="B86" s="1051" t="s">
        <v>378</v>
      </c>
      <c r="C86" s="1052">
        <v>43301</v>
      </c>
      <c r="D86" s="1053">
        <v>1750</v>
      </c>
    </row>
    <row r="87" spans="1:4">
      <c r="A87" s="1050" t="s">
        <v>733</v>
      </c>
      <c r="B87" s="1051" t="s">
        <v>976</v>
      </c>
      <c r="C87" s="1052">
        <v>43301</v>
      </c>
      <c r="D87" s="1053">
        <v>1850.74</v>
      </c>
    </row>
    <row r="88" spans="1:4">
      <c r="A88" s="1050" t="s">
        <v>384</v>
      </c>
      <c r="B88" s="1051" t="s">
        <v>455</v>
      </c>
      <c r="C88" s="1052">
        <v>43301</v>
      </c>
      <c r="D88" s="1053">
        <v>400</v>
      </c>
    </row>
    <row r="89" spans="1:4">
      <c r="A89" s="1050" t="s">
        <v>384</v>
      </c>
      <c r="B89" s="1051" t="s">
        <v>455</v>
      </c>
      <c r="C89" s="1052">
        <v>43301</v>
      </c>
      <c r="D89" s="1053">
        <v>450</v>
      </c>
    </row>
    <row r="90" spans="1:4">
      <c r="A90" s="1050" t="s">
        <v>975</v>
      </c>
      <c r="B90" s="1051" t="s">
        <v>974</v>
      </c>
      <c r="C90" s="1052">
        <v>43301</v>
      </c>
      <c r="D90" s="1053">
        <v>930.44</v>
      </c>
    </row>
    <row r="91" spans="1:4">
      <c r="A91" s="1050" t="s">
        <v>561</v>
      </c>
      <c r="B91" s="1051" t="s">
        <v>560</v>
      </c>
      <c r="C91" s="1052">
        <v>43301</v>
      </c>
      <c r="D91" s="1053">
        <v>2836.84</v>
      </c>
    </row>
    <row r="92" spans="1:4">
      <c r="A92" s="1050" t="s">
        <v>566</v>
      </c>
      <c r="B92" s="1051" t="s">
        <v>565</v>
      </c>
      <c r="C92" s="1052">
        <v>43301</v>
      </c>
      <c r="D92" s="1053">
        <v>3000</v>
      </c>
    </row>
    <row r="93" spans="1:4">
      <c r="A93" s="1050" t="s">
        <v>667</v>
      </c>
      <c r="B93" s="1051" t="s">
        <v>666</v>
      </c>
      <c r="C93" s="1052">
        <v>43301</v>
      </c>
      <c r="D93" s="1053">
        <v>500</v>
      </c>
    </row>
    <row r="94" spans="1:4">
      <c r="A94" s="1050" t="s">
        <v>973</v>
      </c>
      <c r="B94" s="1051" t="s">
        <v>972</v>
      </c>
      <c r="C94" s="1052">
        <v>43301</v>
      </c>
      <c r="D94" s="1053">
        <v>500</v>
      </c>
    </row>
    <row r="95" spans="1:4">
      <c r="A95" s="1050" t="s">
        <v>749</v>
      </c>
      <c r="B95" s="1051" t="s">
        <v>748</v>
      </c>
      <c r="C95" s="1052">
        <v>43301</v>
      </c>
      <c r="D95" s="1053">
        <v>1000</v>
      </c>
    </row>
    <row r="96" spans="1:4">
      <c r="A96" s="1050" t="s">
        <v>747</v>
      </c>
      <c r="B96" s="1051" t="s">
        <v>746</v>
      </c>
      <c r="C96" s="1052">
        <v>43301</v>
      </c>
      <c r="D96" s="1053">
        <v>2159.13</v>
      </c>
    </row>
    <row r="97" spans="1:4">
      <c r="A97" s="1050" t="s">
        <v>420</v>
      </c>
      <c r="B97" s="1051" t="s">
        <v>478</v>
      </c>
      <c r="C97" s="1052">
        <v>43301</v>
      </c>
      <c r="D97" s="1053">
        <v>1560</v>
      </c>
    </row>
    <row r="98" spans="1:4">
      <c r="A98" s="1050" t="s">
        <v>655</v>
      </c>
      <c r="B98" s="1051" t="s">
        <v>654</v>
      </c>
      <c r="C98" s="1052">
        <v>43301</v>
      </c>
      <c r="D98" s="1053">
        <v>1000</v>
      </c>
    </row>
    <row r="99" spans="1:4">
      <c r="A99" s="1050" t="s">
        <v>500</v>
      </c>
      <c r="B99" s="1051" t="s">
        <v>783</v>
      </c>
      <c r="C99" s="1052">
        <v>43301</v>
      </c>
      <c r="D99" s="1053">
        <v>1319</v>
      </c>
    </row>
    <row r="100" spans="1:4">
      <c r="A100" s="1050" t="s">
        <v>739</v>
      </c>
      <c r="B100" s="1051" t="s">
        <v>738</v>
      </c>
      <c r="C100" s="1052">
        <v>43301</v>
      </c>
      <c r="D100" s="1053">
        <v>3700</v>
      </c>
    </row>
    <row r="101" spans="1:4">
      <c r="A101" s="1050" t="s">
        <v>438</v>
      </c>
      <c r="B101" s="1051" t="s">
        <v>437</v>
      </c>
      <c r="C101" s="1052">
        <v>43301</v>
      </c>
      <c r="D101" s="1053">
        <v>500</v>
      </c>
    </row>
    <row r="102" spans="1:4">
      <c r="A102" s="1050" t="s">
        <v>517</v>
      </c>
      <c r="B102" s="1051" t="s">
        <v>516</v>
      </c>
      <c r="C102" s="1052">
        <v>43301</v>
      </c>
      <c r="D102" s="1053">
        <v>635</v>
      </c>
    </row>
    <row r="103" spans="1:4">
      <c r="A103" s="1050" t="s">
        <v>782</v>
      </c>
      <c r="B103" s="1051" t="s">
        <v>781</v>
      </c>
      <c r="C103" s="1052">
        <v>43302</v>
      </c>
      <c r="D103" s="1053">
        <v>2500</v>
      </c>
    </row>
    <row r="104" spans="1:4">
      <c r="A104" s="1050" t="s">
        <v>468</v>
      </c>
      <c r="B104" s="1051" t="s">
        <v>709</v>
      </c>
      <c r="C104" s="1052">
        <v>43302</v>
      </c>
      <c r="D104" s="1053">
        <v>2000</v>
      </c>
    </row>
    <row r="105" spans="1:4">
      <c r="A105" s="1050" t="s">
        <v>480</v>
      </c>
      <c r="B105" s="1051" t="s">
        <v>479</v>
      </c>
      <c r="C105" s="1052">
        <v>43302</v>
      </c>
      <c r="D105" s="1053">
        <v>2000</v>
      </c>
    </row>
    <row r="106" spans="1:4">
      <c r="A106" s="1046" t="s">
        <v>1214</v>
      </c>
      <c r="B106" s="1047" t="s">
        <v>1213</v>
      </c>
      <c r="C106" s="1048">
        <v>43303</v>
      </c>
      <c r="D106" s="1049">
        <v>229.155</v>
      </c>
    </row>
    <row r="107" spans="1:4">
      <c r="A107" s="1050" t="s">
        <v>1118</v>
      </c>
      <c r="B107" s="1051" t="s">
        <v>1047</v>
      </c>
      <c r="C107" s="1052">
        <v>43303</v>
      </c>
      <c r="D107" s="1053">
        <v>3276.2</v>
      </c>
    </row>
    <row r="108" spans="1:4">
      <c r="A108" s="1050" t="s">
        <v>971</v>
      </c>
      <c r="B108" s="1051" t="s">
        <v>970</v>
      </c>
      <c r="C108" s="1052">
        <v>43303</v>
      </c>
      <c r="D108" s="1053">
        <v>211.43</v>
      </c>
    </row>
    <row r="109" spans="1:4">
      <c r="A109" s="1050" t="s">
        <v>489</v>
      </c>
      <c r="B109" s="1051" t="s">
        <v>488</v>
      </c>
      <c r="C109" s="1052">
        <v>43303</v>
      </c>
      <c r="D109" s="1053">
        <v>634.80999999999995</v>
      </c>
    </row>
    <row r="110" spans="1:4">
      <c r="A110" s="1050" t="s">
        <v>538</v>
      </c>
      <c r="B110" s="1051" t="s">
        <v>537</v>
      </c>
      <c r="C110" s="1052">
        <v>43303</v>
      </c>
      <c r="D110" s="1053">
        <v>2490</v>
      </c>
    </row>
    <row r="111" spans="1:4">
      <c r="A111" s="1050" t="s">
        <v>392</v>
      </c>
      <c r="B111" s="1051" t="s">
        <v>391</v>
      </c>
      <c r="C111" s="1052">
        <v>43303</v>
      </c>
      <c r="D111" s="1053">
        <v>2311.71</v>
      </c>
    </row>
    <row r="112" spans="1:4">
      <c r="A112" s="1050" t="s">
        <v>396</v>
      </c>
      <c r="B112" s="1051" t="s">
        <v>395</v>
      </c>
      <c r="C112" s="1052">
        <v>43303</v>
      </c>
      <c r="D112" s="1053">
        <v>777.3</v>
      </c>
    </row>
    <row r="113" spans="1:4">
      <c r="A113" s="1050" t="s">
        <v>417</v>
      </c>
      <c r="B113" s="1051" t="s">
        <v>416</v>
      </c>
      <c r="C113" s="1052">
        <v>43303</v>
      </c>
      <c r="D113" s="1053">
        <v>1458.41</v>
      </c>
    </row>
    <row r="114" spans="1:4">
      <c r="A114" s="1050" t="s">
        <v>969</v>
      </c>
      <c r="B114" s="1051" t="s">
        <v>968</v>
      </c>
      <c r="C114" s="1052">
        <v>43303</v>
      </c>
      <c r="D114" s="1053">
        <v>1420</v>
      </c>
    </row>
    <row r="115" spans="1:4">
      <c r="A115" s="1050" t="s">
        <v>546</v>
      </c>
      <c r="B115" s="1051" t="s">
        <v>795</v>
      </c>
      <c r="C115" s="1052">
        <v>43303</v>
      </c>
      <c r="D115" s="1053">
        <v>732</v>
      </c>
    </row>
    <row r="116" spans="1:4">
      <c r="A116" s="1050" t="s">
        <v>496</v>
      </c>
      <c r="B116" s="1051" t="s">
        <v>789</v>
      </c>
      <c r="C116" s="1052">
        <v>43303</v>
      </c>
      <c r="D116" s="1053">
        <v>2000</v>
      </c>
    </row>
    <row r="117" spans="1:4">
      <c r="A117" s="1050" t="s">
        <v>684</v>
      </c>
      <c r="B117" s="1051" t="s">
        <v>457</v>
      </c>
      <c r="C117" s="1052">
        <v>43304</v>
      </c>
      <c r="D117" s="1053">
        <v>866</v>
      </c>
    </row>
    <row r="118" spans="1:4">
      <c r="A118" s="1050" t="s">
        <v>684</v>
      </c>
      <c r="B118" s="1051" t="s">
        <v>457</v>
      </c>
      <c r="C118" s="1052">
        <v>43304</v>
      </c>
      <c r="D118" s="1053">
        <v>866</v>
      </c>
    </row>
    <row r="119" spans="1:4">
      <c r="A119" s="1050" t="s">
        <v>415</v>
      </c>
      <c r="B119" s="1051" t="s">
        <v>414</v>
      </c>
      <c r="C119" s="1052">
        <v>43304</v>
      </c>
      <c r="D119" s="1053">
        <v>1960</v>
      </c>
    </row>
    <row r="120" spans="1:4">
      <c r="A120" s="1050" t="s">
        <v>719</v>
      </c>
      <c r="B120" s="1051" t="s">
        <v>718</v>
      </c>
      <c r="C120" s="1052">
        <v>43304</v>
      </c>
      <c r="D120" s="1053">
        <v>300</v>
      </c>
    </row>
    <row r="121" spans="1:4">
      <c r="A121" s="1050" t="s">
        <v>967</v>
      </c>
      <c r="B121" s="1051" t="s">
        <v>443</v>
      </c>
      <c r="C121" s="1052">
        <v>43304</v>
      </c>
      <c r="D121" s="1053">
        <v>1153.28</v>
      </c>
    </row>
    <row r="122" spans="1:4">
      <c r="A122" s="1050" t="s">
        <v>966</v>
      </c>
      <c r="B122" s="1051" t="s">
        <v>744</v>
      </c>
      <c r="C122" s="1052">
        <v>43304</v>
      </c>
      <c r="D122" s="1053">
        <v>481.83</v>
      </c>
    </row>
    <row r="123" spans="1:4">
      <c r="A123" s="1050" t="s">
        <v>405</v>
      </c>
      <c r="B123" s="1051" t="s">
        <v>404</v>
      </c>
      <c r="C123" s="1052">
        <v>43305</v>
      </c>
      <c r="D123" s="1053">
        <v>1201.48</v>
      </c>
    </row>
    <row r="124" spans="1:4">
      <c r="A124" s="1046" t="s">
        <v>1238</v>
      </c>
      <c r="B124" s="1047" t="s">
        <v>1000</v>
      </c>
      <c r="C124" s="1048">
        <v>43305</v>
      </c>
      <c r="D124" s="1049">
        <v>145.631</v>
      </c>
    </row>
    <row r="125" spans="1:4">
      <c r="A125" s="1046" t="s">
        <v>1009</v>
      </c>
      <c r="B125" s="1047" t="s">
        <v>1008</v>
      </c>
      <c r="C125" s="1048">
        <v>43305</v>
      </c>
      <c r="D125" s="1049">
        <v>438</v>
      </c>
    </row>
    <row r="126" spans="1:4">
      <c r="A126" s="1050" t="s">
        <v>505</v>
      </c>
      <c r="B126" s="1051" t="s">
        <v>504</v>
      </c>
      <c r="C126" s="1052">
        <v>43305</v>
      </c>
      <c r="D126" s="1053">
        <v>1500</v>
      </c>
    </row>
    <row r="127" spans="1:4">
      <c r="A127" s="1050" t="s">
        <v>402</v>
      </c>
      <c r="B127" s="1051" t="s">
        <v>401</v>
      </c>
      <c r="C127" s="1052">
        <v>43306</v>
      </c>
      <c r="D127" s="1053">
        <v>682.06</v>
      </c>
    </row>
    <row r="128" spans="1:4">
      <c r="A128" s="1050" t="s">
        <v>930</v>
      </c>
      <c r="B128" s="1051" t="s">
        <v>929</v>
      </c>
      <c r="C128" s="1052">
        <v>43306</v>
      </c>
      <c r="D128" s="1053">
        <v>175.83</v>
      </c>
    </row>
    <row r="129" spans="1:4">
      <c r="A129" s="1046" t="s">
        <v>1232</v>
      </c>
      <c r="B129" s="1047" t="s">
        <v>1231</v>
      </c>
      <c r="C129" s="1048">
        <v>43306</v>
      </c>
      <c r="D129" s="1049">
        <v>591.57799999999997</v>
      </c>
    </row>
    <row r="130" spans="1:4">
      <c r="A130" s="1050" t="s">
        <v>684</v>
      </c>
      <c r="B130" s="1051" t="s">
        <v>457</v>
      </c>
      <c r="C130" s="1052">
        <v>43306</v>
      </c>
      <c r="D130" s="1053">
        <v>866</v>
      </c>
    </row>
    <row r="131" spans="1:4">
      <c r="A131" s="1050" t="s">
        <v>357</v>
      </c>
      <c r="B131" s="1051" t="s">
        <v>378</v>
      </c>
      <c r="C131" s="1052">
        <v>43306</v>
      </c>
      <c r="D131" s="1053">
        <v>1925.67</v>
      </c>
    </row>
    <row r="132" spans="1:4">
      <c r="A132" s="1050" t="s">
        <v>965</v>
      </c>
      <c r="B132" s="1051" t="s">
        <v>964</v>
      </c>
      <c r="C132" s="1052">
        <v>43306</v>
      </c>
      <c r="D132" s="1053">
        <v>11500</v>
      </c>
    </row>
    <row r="133" spans="1:4">
      <c r="A133" s="1050" t="s">
        <v>384</v>
      </c>
      <c r="B133" s="1051" t="s">
        <v>455</v>
      </c>
      <c r="C133" s="1052">
        <v>43306</v>
      </c>
      <c r="D133" s="1053">
        <v>900.6</v>
      </c>
    </row>
    <row r="134" spans="1:4">
      <c r="A134" s="1050" t="s">
        <v>384</v>
      </c>
      <c r="B134" s="1051" t="s">
        <v>455</v>
      </c>
      <c r="C134" s="1052">
        <v>43306</v>
      </c>
      <c r="D134" s="1053">
        <v>3500</v>
      </c>
    </row>
    <row r="135" spans="1:4">
      <c r="A135" s="1050" t="s">
        <v>752</v>
      </c>
      <c r="B135" s="1051" t="s">
        <v>389</v>
      </c>
      <c r="C135" s="1052">
        <v>43306</v>
      </c>
      <c r="D135" s="1053">
        <v>1559.55</v>
      </c>
    </row>
    <row r="136" spans="1:4">
      <c r="A136" s="1050" t="s">
        <v>963</v>
      </c>
      <c r="B136" s="1051" t="s">
        <v>962</v>
      </c>
      <c r="C136" s="1052">
        <v>43306</v>
      </c>
      <c r="D136" s="1053">
        <v>566.80999999999995</v>
      </c>
    </row>
    <row r="137" spans="1:4">
      <c r="A137" s="1050" t="s">
        <v>954</v>
      </c>
      <c r="B137" s="1051" t="s">
        <v>1150</v>
      </c>
      <c r="C137" s="1052">
        <v>43306</v>
      </c>
      <c r="D137" s="1053">
        <v>2024.72</v>
      </c>
    </row>
    <row r="138" spans="1:4">
      <c r="A138" s="1050" t="s">
        <v>961</v>
      </c>
      <c r="B138" s="1051" t="s">
        <v>960</v>
      </c>
      <c r="C138" s="1052">
        <v>43306</v>
      </c>
      <c r="D138" s="1053">
        <v>227.77</v>
      </c>
    </row>
    <row r="139" spans="1:4">
      <c r="A139" s="1050" t="s">
        <v>361</v>
      </c>
      <c r="B139" s="1051" t="s">
        <v>360</v>
      </c>
      <c r="C139" s="1052">
        <v>43306</v>
      </c>
      <c r="D139" s="1053">
        <v>999.7</v>
      </c>
    </row>
    <row r="140" spans="1:4">
      <c r="A140" s="1050" t="s">
        <v>419</v>
      </c>
      <c r="B140" s="1051" t="s">
        <v>665</v>
      </c>
      <c r="C140" s="1052">
        <v>43306</v>
      </c>
      <c r="D140" s="1053">
        <v>1345.75</v>
      </c>
    </row>
    <row r="141" spans="1:4">
      <c r="A141" s="1050" t="s">
        <v>959</v>
      </c>
      <c r="B141" s="1051" t="s">
        <v>958</v>
      </c>
      <c r="C141" s="1052">
        <v>43306</v>
      </c>
      <c r="D141" s="1053">
        <v>441.5</v>
      </c>
    </row>
    <row r="142" spans="1:4">
      <c r="A142" s="1050" t="s">
        <v>363</v>
      </c>
      <c r="B142" s="1051" t="s">
        <v>362</v>
      </c>
      <c r="C142" s="1052">
        <v>43306</v>
      </c>
      <c r="D142" s="1053">
        <v>4400</v>
      </c>
    </row>
    <row r="143" spans="1:4">
      <c r="A143" s="1050" t="s">
        <v>957</v>
      </c>
      <c r="B143" s="1051" t="s">
        <v>721</v>
      </c>
      <c r="C143" s="1052">
        <v>43306</v>
      </c>
      <c r="D143" s="1053">
        <v>4000</v>
      </c>
    </row>
    <row r="144" spans="1:4">
      <c r="A144" s="1050" t="s">
        <v>956</v>
      </c>
      <c r="B144" s="1051" t="s">
        <v>955</v>
      </c>
      <c r="C144" s="1052">
        <v>43306</v>
      </c>
      <c r="D144" s="1053">
        <v>210.69</v>
      </c>
    </row>
    <row r="145" spans="1:4">
      <c r="A145" s="1050" t="s">
        <v>500</v>
      </c>
      <c r="B145" s="1051" t="s">
        <v>783</v>
      </c>
      <c r="C145" s="1052">
        <v>43306</v>
      </c>
      <c r="D145" s="1053">
        <v>1323</v>
      </c>
    </row>
    <row r="146" spans="1:4">
      <c r="A146" s="1050" t="s">
        <v>517</v>
      </c>
      <c r="B146" s="1051" t="s">
        <v>516</v>
      </c>
      <c r="C146" s="1052">
        <v>43306</v>
      </c>
      <c r="D146" s="1053">
        <v>638</v>
      </c>
    </row>
    <row r="147" spans="1:4">
      <c r="A147" s="1050" t="s">
        <v>1005</v>
      </c>
      <c r="B147" s="1051" t="s">
        <v>1004</v>
      </c>
      <c r="C147" s="1052">
        <v>43307</v>
      </c>
      <c r="D147" s="1053">
        <v>320</v>
      </c>
    </row>
    <row r="148" spans="1:4">
      <c r="A148" s="1050" t="s">
        <v>860</v>
      </c>
      <c r="B148" s="1051" t="s">
        <v>859</v>
      </c>
      <c r="C148" s="1052">
        <v>43307</v>
      </c>
      <c r="D148" s="1053">
        <v>3434.53</v>
      </c>
    </row>
    <row r="149" spans="1:4">
      <c r="A149" s="1050" t="s">
        <v>546</v>
      </c>
      <c r="B149" s="1051" t="s">
        <v>795</v>
      </c>
      <c r="C149" s="1052">
        <v>43307</v>
      </c>
      <c r="D149" s="1053">
        <v>732</v>
      </c>
    </row>
    <row r="150" spans="1:4">
      <c r="A150" s="1050" t="s">
        <v>444</v>
      </c>
      <c r="B150" s="1051" t="s">
        <v>443</v>
      </c>
      <c r="C150" s="1052">
        <v>43307</v>
      </c>
      <c r="D150" s="1053">
        <v>2000</v>
      </c>
    </row>
    <row r="151" spans="1:4">
      <c r="A151" s="1050" t="s">
        <v>684</v>
      </c>
      <c r="B151" s="1051" t="s">
        <v>457</v>
      </c>
      <c r="C151" s="1052">
        <v>43308</v>
      </c>
      <c r="D151" s="1053">
        <v>866</v>
      </c>
    </row>
    <row r="152" spans="1:4">
      <c r="A152" s="1050" t="s">
        <v>713</v>
      </c>
      <c r="B152" s="1051" t="s">
        <v>712</v>
      </c>
      <c r="C152" s="1052">
        <v>43308</v>
      </c>
      <c r="D152" s="1053">
        <v>761.43</v>
      </c>
    </row>
    <row r="153" spans="1:4">
      <c r="A153" s="1050" t="s">
        <v>538</v>
      </c>
      <c r="B153" s="1051" t="s">
        <v>537</v>
      </c>
      <c r="C153" s="1052">
        <v>43308</v>
      </c>
      <c r="D153" s="1053">
        <v>2492.0300000000002</v>
      </c>
    </row>
    <row r="154" spans="1:4">
      <c r="A154" s="1046" t="s">
        <v>751</v>
      </c>
      <c r="B154" s="1047" t="s">
        <v>1158</v>
      </c>
      <c r="C154" s="1048">
        <v>43308</v>
      </c>
      <c r="D154" s="1049">
        <v>252.6</v>
      </c>
    </row>
    <row r="155" spans="1:4">
      <c r="A155" s="1050" t="s">
        <v>359</v>
      </c>
      <c r="B155" s="1051" t="s">
        <v>358</v>
      </c>
      <c r="C155" s="1052">
        <v>43308</v>
      </c>
      <c r="D155" s="1053">
        <v>9033.7000000000007</v>
      </c>
    </row>
    <row r="156" spans="1:4">
      <c r="A156" s="1050" t="s">
        <v>782</v>
      </c>
      <c r="B156" s="1051" t="s">
        <v>781</v>
      </c>
      <c r="C156" s="1052">
        <v>43308</v>
      </c>
      <c r="D156" s="1053">
        <v>2500</v>
      </c>
    </row>
    <row r="157" spans="1:4">
      <c r="A157" s="1050" t="s">
        <v>953</v>
      </c>
      <c r="B157" s="1051" t="s">
        <v>952</v>
      </c>
      <c r="C157" s="1052">
        <v>43308</v>
      </c>
      <c r="D157" s="1053">
        <v>1989.66</v>
      </c>
    </row>
    <row r="158" spans="1:4">
      <c r="A158" s="1050" t="s">
        <v>741</v>
      </c>
      <c r="B158" s="1051" t="s">
        <v>740</v>
      </c>
      <c r="C158" s="1052">
        <v>43308</v>
      </c>
      <c r="D158" s="1053">
        <v>1936</v>
      </c>
    </row>
    <row r="159" spans="1:4">
      <c r="A159" s="1050" t="s">
        <v>1019</v>
      </c>
      <c r="B159" s="1051" t="s">
        <v>1018</v>
      </c>
      <c r="C159" s="1052">
        <v>43308</v>
      </c>
      <c r="D159" s="1053">
        <v>580</v>
      </c>
    </row>
    <row r="160" spans="1:4">
      <c r="A160" s="1050" t="s">
        <v>951</v>
      </c>
      <c r="B160" s="1051" t="s">
        <v>518</v>
      </c>
      <c r="C160" s="1052">
        <v>43308</v>
      </c>
      <c r="D160" s="1053">
        <v>3637.48</v>
      </c>
    </row>
    <row r="161" spans="1:4">
      <c r="A161" s="1050" t="s">
        <v>950</v>
      </c>
      <c r="B161" s="1051" t="s">
        <v>807</v>
      </c>
      <c r="C161" s="1052">
        <v>43309</v>
      </c>
      <c r="D161" s="1053">
        <v>3762.3</v>
      </c>
    </row>
    <row r="162" spans="1:4">
      <c r="A162" s="1050" t="s">
        <v>669</v>
      </c>
      <c r="B162" s="1051" t="s">
        <v>668</v>
      </c>
      <c r="C162" s="1052">
        <v>43309</v>
      </c>
      <c r="D162" s="1053">
        <v>864.3</v>
      </c>
    </row>
    <row r="163" spans="1:4">
      <c r="A163" s="1050" t="s">
        <v>468</v>
      </c>
      <c r="B163" s="1051" t="s">
        <v>709</v>
      </c>
      <c r="C163" s="1052">
        <v>43309</v>
      </c>
      <c r="D163" s="1053">
        <v>1100.5899999999999</v>
      </c>
    </row>
    <row r="164" spans="1:4">
      <c r="A164" s="1050" t="s">
        <v>949</v>
      </c>
      <c r="B164" s="1051" t="s">
        <v>522</v>
      </c>
      <c r="C164" s="1052">
        <v>43309</v>
      </c>
      <c r="D164" s="1053">
        <v>1406.94</v>
      </c>
    </row>
    <row r="165" spans="1:4">
      <c r="A165" s="1050" t="s">
        <v>480</v>
      </c>
      <c r="B165" s="1051" t="s">
        <v>479</v>
      </c>
      <c r="C165" s="1052">
        <v>43309</v>
      </c>
      <c r="D165" s="1053">
        <v>2000</v>
      </c>
    </row>
    <row r="166" spans="1:4">
      <c r="A166" s="1050" t="s">
        <v>579</v>
      </c>
      <c r="B166" s="1051" t="s">
        <v>578</v>
      </c>
      <c r="C166" s="1052">
        <v>43310</v>
      </c>
      <c r="D166" s="1053">
        <v>1812.88</v>
      </c>
    </row>
    <row r="167" spans="1:4">
      <c r="A167" s="1050" t="s">
        <v>948</v>
      </c>
      <c r="B167" s="1051" t="s">
        <v>947</v>
      </c>
      <c r="C167" s="1052">
        <v>43310</v>
      </c>
      <c r="D167" s="1053">
        <v>2850.35</v>
      </c>
    </row>
    <row r="168" spans="1:4">
      <c r="A168" s="1050" t="s">
        <v>405</v>
      </c>
      <c r="B168" s="1051" t="s">
        <v>404</v>
      </c>
      <c r="C168" s="1052">
        <v>43310</v>
      </c>
      <c r="D168" s="1053">
        <v>1201.48</v>
      </c>
    </row>
    <row r="169" spans="1:4">
      <c r="A169" s="1046" t="s">
        <v>1237</v>
      </c>
      <c r="B169" s="1047" t="s">
        <v>1187</v>
      </c>
      <c r="C169" s="1048">
        <v>43310</v>
      </c>
      <c r="D169" s="1049">
        <v>1527.847</v>
      </c>
    </row>
    <row r="170" spans="1:4">
      <c r="A170" s="1050" t="s">
        <v>809</v>
      </c>
      <c r="B170" s="1051" t="s">
        <v>808</v>
      </c>
      <c r="C170" s="1052">
        <v>43310</v>
      </c>
      <c r="D170" s="1053">
        <v>514.22</v>
      </c>
    </row>
    <row r="171" spans="1:4">
      <c r="A171" s="1050" t="s">
        <v>806</v>
      </c>
      <c r="B171" s="1051" t="s">
        <v>805</v>
      </c>
      <c r="C171" s="1052">
        <v>43310</v>
      </c>
      <c r="D171" s="1053">
        <v>805.22</v>
      </c>
    </row>
    <row r="172" spans="1:4">
      <c r="A172" s="1050" t="s">
        <v>946</v>
      </c>
      <c r="B172" s="1051" t="s">
        <v>945</v>
      </c>
      <c r="C172" s="1052">
        <v>43310</v>
      </c>
      <c r="D172" s="1053">
        <v>773.86</v>
      </c>
    </row>
    <row r="173" spans="1:4">
      <c r="A173" s="1050" t="s">
        <v>636</v>
      </c>
      <c r="B173" s="1051" t="s">
        <v>635</v>
      </c>
      <c r="C173" s="1052">
        <v>43310</v>
      </c>
      <c r="D173" s="1053">
        <v>288.33999999999997</v>
      </c>
    </row>
    <row r="174" spans="1:4">
      <c r="A174" s="1050" t="s">
        <v>944</v>
      </c>
      <c r="B174" s="1051" t="s">
        <v>943</v>
      </c>
      <c r="C174" s="1052">
        <v>43310</v>
      </c>
      <c r="D174" s="1053">
        <v>945.7</v>
      </c>
    </row>
    <row r="175" spans="1:4">
      <c r="A175" s="1050" t="s">
        <v>942</v>
      </c>
      <c r="B175" s="1051" t="s">
        <v>941</v>
      </c>
      <c r="C175" s="1052">
        <v>43311</v>
      </c>
      <c r="D175" s="1053">
        <v>1566.34</v>
      </c>
    </row>
    <row r="176" spans="1:4">
      <c r="A176" s="1046" t="s">
        <v>1223</v>
      </c>
      <c r="B176" s="1047" t="s">
        <v>1222</v>
      </c>
      <c r="C176" s="1048">
        <v>43311</v>
      </c>
      <c r="D176" s="1049">
        <v>233.00700000000001</v>
      </c>
    </row>
    <row r="177" spans="1:4">
      <c r="A177" s="1050" t="s">
        <v>940</v>
      </c>
      <c r="B177" s="1051" t="s">
        <v>939</v>
      </c>
      <c r="C177" s="1052">
        <v>43311</v>
      </c>
      <c r="D177" s="1053">
        <v>827.08</v>
      </c>
    </row>
    <row r="178" spans="1:4">
      <c r="A178" s="1050" t="s">
        <v>938</v>
      </c>
      <c r="B178" s="1051" t="s">
        <v>937</v>
      </c>
      <c r="C178" s="1052">
        <v>43311</v>
      </c>
      <c r="D178" s="1053">
        <v>211.43</v>
      </c>
    </row>
    <row r="179" spans="1:4">
      <c r="A179" s="1050" t="s">
        <v>704</v>
      </c>
      <c r="B179" s="1051" t="s">
        <v>464</v>
      </c>
      <c r="C179" s="1052">
        <v>43311</v>
      </c>
      <c r="D179" s="1053">
        <v>684.54</v>
      </c>
    </row>
    <row r="180" spans="1:4">
      <c r="A180" s="1050" t="s">
        <v>394</v>
      </c>
      <c r="B180" s="1051" t="s">
        <v>393</v>
      </c>
      <c r="C180" s="1052">
        <v>43311</v>
      </c>
      <c r="D180" s="1053">
        <v>7418.72</v>
      </c>
    </row>
    <row r="181" spans="1:4">
      <c r="A181" s="1050" t="s">
        <v>703</v>
      </c>
      <c r="B181" s="1051" t="s">
        <v>702</v>
      </c>
      <c r="C181" s="1052">
        <v>43311</v>
      </c>
      <c r="D181" s="1053">
        <v>2775.44</v>
      </c>
    </row>
    <row r="182" spans="1:4">
      <c r="A182" s="1050" t="s">
        <v>701</v>
      </c>
      <c r="B182" s="1051" t="s">
        <v>700</v>
      </c>
      <c r="C182" s="1052">
        <v>43311</v>
      </c>
      <c r="D182" s="1053">
        <v>700</v>
      </c>
    </row>
    <row r="183" spans="1:4">
      <c r="A183" s="1050" t="s">
        <v>402</v>
      </c>
      <c r="B183" s="1051" t="s">
        <v>401</v>
      </c>
      <c r="C183" s="1052">
        <v>43311</v>
      </c>
      <c r="D183" s="1053">
        <v>1229</v>
      </c>
    </row>
    <row r="184" spans="1:4">
      <c r="A184" s="1050" t="s">
        <v>936</v>
      </c>
      <c r="B184" s="1051" t="s">
        <v>935</v>
      </c>
      <c r="C184" s="1052">
        <v>43311</v>
      </c>
      <c r="D184" s="1053">
        <v>3000</v>
      </c>
    </row>
    <row r="185" spans="1:4">
      <c r="A185" s="1050" t="s">
        <v>699</v>
      </c>
      <c r="B185" s="1051" t="s">
        <v>698</v>
      </c>
      <c r="C185" s="1052">
        <v>43311</v>
      </c>
      <c r="D185" s="1053">
        <v>735.99</v>
      </c>
    </row>
    <row r="186" spans="1:4">
      <c r="A186" s="1050" t="s">
        <v>503</v>
      </c>
      <c r="B186" s="1051" t="s">
        <v>501</v>
      </c>
      <c r="C186" s="1052">
        <v>43311</v>
      </c>
      <c r="D186" s="1053">
        <v>3933.79</v>
      </c>
    </row>
    <row r="187" spans="1:4">
      <c r="A187" s="1050" t="s">
        <v>1149</v>
      </c>
      <c r="B187" s="1051" t="s">
        <v>1148</v>
      </c>
      <c r="C187" s="1052">
        <v>43311</v>
      </c>
      <c r="D187" s="1053">
        <v>364.19</v>
      </c>
    </row>
    <row r="188" spans="1:4">
      <c r="A188" s="1050" t="s">
        <v>934</v>
      </c>
      <c r="B188" s="1051" t="s">
        <v>933</v>
      </c>
      <c r="C188" s="1052">
        <v>43311</v>
      </c>
      <c r="D188" s="1053">
        <v>486.15</v>
      </c>
    </row>
    <row r="189" spans="1:4">
      <c r="A189" s="1050" t="s">
        <v>934</v>
      </c>
      <c r="B189" s="1051" t="s">
        <v>933</v>
      </c>
      <c r="C189" s="1052">
        <v>43311</v>
      </c>
      <c r="D189" s="1053">
        <v>119.3</v>
      </c>
    </row>
    <row r="190" spans="1:4">
      <c r="A190" s="1050" t="s">
        <v>373</v>
      </c>
      <c r="B190" s="1051" t="s">
        <v>372</v>
      </c>
      <c r="C190" s="1052">
        <v>43311</v>
      </c>
      <c r="D190" s="1053">
        <v>3000</v>
      </c>
    </row>
    <row r="191" spans="1:4">
      <c r="A191" s="1050" t="s">
        <v>932</v>
      </c>
      <c r="B191" s="1051" t="s">
        <v>530</v>
      </c>
      <c r="C191" s="1052">
        <v>43311</v>
      </c>
      <c r="D191" s="1053">
        <v>103.24</v>
      </c>
    </row>
    <row r="192" spans="1:4">
      <c r="A192" s="1050" t="s">
        <v>931</v>
      </c>
      <c r="B192" s="1051" t="s">
        <v>696</v>
      </c>
      <c r="C192" s="1052">
        <v>43311</v>
      </c>
      <c r="D192" s="1053">
        <v>448.85</v>
      </c>
    </row>
    <row r="193" spans="1:4">
      <c r="A193" s="1050" t="s">
        <v>930</v>
      </c>
      <c r="B193" s="1051" t="s">
        <v>929</v>
      </c>
      <c r="C193" s="1052">
        <v>43311</v>
      </c>
      <c r="D193" s="1053">
        <v>1419.94</v>
      </c>
    </row>
    <row r="194" spans="1:4">
      <c r="A194" s="1050" t="s">
        <v>928</v>
      </c>
      <c r="B194" s="1051" t="s">
        <v>927</v>
      </c>
      <c r="C194" s="1052">
        <v>43311</v>
      </c>
      <c r="D194" s="1053">
        <v>460.43</v>
      </c>
    </row>
    <row r="195" spans="1:4">
      <c r="A195" s="1050" t="s">
        <v>926</v>
      </c>
      <c r="B195" s="1051" t="s">
        <v>925</v>
      </c>
      <c r="C195" s="1052">
        <v>43311</v>
      </c>
      <c r="D195" s="1053">
        <v>1496.68</v>
      </c>
    </row>
    <row r="196" spans="1:4">
      <c r="A196" s="1050" t="s">
        <v>924</v>
      </c>
      <c r="B196" s="1051" t="s">
        <v>923</v>
      </c>
      <c r="C196" s="1052">
        <v>43311</v>
      </c>
      <c r="D196" s="1053">
        <v>418.32</v>
      </c>
    </row>
    <row r="197" spans="1:4">
      <c r="A197" s="1050" t="s">
        <v>922</v>
      </c>
      <c r="B197" s="1051" t="s">
        <v>921</v>
      </c>
      <c r="C197" s="1052">
        <v>43311</v>
      </c>
      <c r="D197" s="1053">
        <v>1363.98</v>
      </c>
    </row>
    <row r="198" spans="1:4">
      <c r="A198" s="1050" t="s">
        <v>920</v>
      </c>
      <c r="B198" s="1051" t="s">
        <v>919</v>
      </c>
      <c r="C198" s="1052">
        <v>43311</v>
      </c>
      <c r="D198" s="1053">
        <v>2649.47</v>
      </c>
    </row>
    <row r="199" spans="1:4">
      <c r="A199" s="1050" t="s">
        <v>883</v>
      </c>
      <c r="B199" s="1051" t="s">
        <v>1147</v>
      </c>
      <c r="C199" s="1052">
        <v>43311</v>
      </c>
      <c r="D199" s="1053">
        <v>668.73</v>
      </c>
    </row>
    <row r="200" spans="1:4">
      <c r="A200" s="1050" t="s">
        <v>771</v>
      </c>
      <c r="B200" s="1051" t="s">
        <v>770</v>
      </c>
      <c r="C200" s="1052">
        <v>43311</v>
      </c>
      <c r="D200" s="1053">
        <v>3316.98</v>
      </c>
    </row>
    <row r="201" spans="1:4">
      <c r="A201" s="1050" t="s">
        <v>690</v>
      </c>
      <c r="B201" s="1051" t="s">
        <v>689</v>
      </c>
      <c r="C201" s="1052">
        <v>43311</v>
      </c>
      <c r="D201" s="1053">
        <v>480.48</v>
      </c>
    </row>
    <row r="202" spans="1:4">
      <c r="A202" s="1050" t="s">
        <v>918</v>
      </c>
      <c r="B202" s="1051" t="s">
        <v>917</v>
      </c>
      <c r="C202" s="1052">
        <v>43311</v>
      </c>
      <c r="D202" s="1053">
        <v>991.48</v>
      </c>
    </row>
    <row r="203" spans="1:4">
      <c r="A203" s="1050" t="s">
        <v>688</v>
      </c>
      <c r="B203" s="1051" t="s">
        <v>687</v>
      </c>
      <c r="C203" s="1052">
        <v>43311</v>
      </c>
      <c r="D203" s="1053">
        <v>4009.92</v>
      </c>
    </row>
    <row r="204" spans="1:4">
      <c r="A204" s="1050" t="s">
        <v>400</v>
      </c>
      <c r="B204" s="1051" t="s">
        <v>399</v>
      </c>
      <c r="C204" s="1052">
        <v>43311</v>
      </c>
      <c r="D204" s="1053">
        <v>1921.98</v>
      </c>
    </row>
    <row r="205" spans="1:4">
      <c r="A205" s="1050" t="s">
        <v>882</v>
      </c>
      <c r="B205" s="1051" t="s">
        <v>1146</v>
      </c>
      <c r="C205" s="1052">
        <v>43311</v>
      </c>
      <c r="D205" s="1053">
        <v>1855.76</v>
      </c>
    </row>
    <row r="206" spans="1:4">
      <c r="A206" s="1050" t="s">
        <v>357</v>
      </c>
      <c r="B206" s="1051" t="s">
        <v>378</v>
      </c>
      <c r="C206" s="1052">
        <v>43311</v>
      </c>
      <c r="D206" s="1053">
        <v>1750</v>
      </c>
    </row>
    <row r="207" spans="1:4">
      <c r="A207" s="1050" t="s">
        <v>432</v>
      </c>
      <c r="B207" s="1051" t="s">
        <v>683</v>
      </c>
      <c r="C207" s="1052">
        <v>43311</v>
      </c>
      <c r="D207" s="1053">
        <v>6829.96</v>
      </c>
    </row>
    <row r="208" spans="1:4">
      <c r="A208" s="1050" t="s">
        <v>916</v>
      </c>
      <c r="B208" s="1051" t="s">
        <v>610</v>
      </c>
      <c r="C208" s="1052">
        <v>43311</v>
      </c>
      <c r="D208" s="1053">
        <v>1527.26</v>
      </c>
    </row>
    <row r="209" spans="1:4">
      <c r="A209" s="1050" t="s">
        <v>915</v>
      </c>
      <c r="B209" s="1051" t="s">
        <v>681</v>
      </c>
      <c r="C209" s="1052">
        <v>43311</v>
      </c>
      <c r="D209" s="1053">
        <v>452.98</v>
      </c>
    </row>
    <row r="210" spans="1:4">
      <c r="A210" s="1050" t="s">
        <v>914</v>
      </c>
      <c r="B210" s="1051" t="s">
        <v>913</v>
      </c>
      <c r="C210" s="1052">
        <v>43311</v>
      </c>
      <c r="D210" s="1053">
        <v>483.84</v>
      </c>
    </row>
    <row r="211" spans="1:4">
      <c r="A211" s="1050" t="s">
        <v>881</v>
      </c>
      <c r="B211" s="1051" t="s">
        <v>880</v>
      </c>
      <c r="C211" s="1052">
        <v>43311</v>
      </c>
      <c r="D211" s="1053">
        <v>473.55</v>
      </c>
    </row>
    <row r="212" spans="1:4">
      <c r="A212" s="1050" t="s">
        <v>881</v>
      </c>
      <c r="B212" s="1051" t="s">
        <v>880</v>
      </c>
      <c r="C212" s="1052">
        <v>43311</v>
      </c>
      <c r="D212" s="1053">
        <v>653.65</v>
      </c>
    </row>
    <row r="213" spans="1:4">
      <c r="A213" s="1050" t="s">
        <v>912</v>
      </c>
      <c r="B213" s="1051" t="s">
        <v>911</v>
      </c>
      <c r="C213" s="1052">
        <v>43311</v>
      </c>
      <c r="D213" s="1053">
        <v>2188.02</v>
      </c>
    </row>
    <row r="214" spans="1:4">
      <c r="A214" s="1050" t="s">
        <v>910</v>
      </c>
      <c r="B214" s="1051" t="s">
        <v>675</v>
      </c>
      <c r="C214" s="1052">
        <v>43311</v>
      </c>
      <c r="D214" s="1053">
        <v>1719.68</v>
      </c>
    </row>
    <row r="215" spans="1:4">
      <c r="A215" s="1050" t="s">
        <v>885</v>
      </c>
      <c r="B215" s="1051" t="s">
        <v>884</v>
      </c>
      <c r="C215" s="1052">
        <v>43311</v>
      </c>
      <c r="D215" s="1053">
        <v>10106.02</v>
      </c>
    </row>
    <row r="216" spans="1:4">
      <c r="A216" s="1050" t="s">
        <v>1145</v>
      </c>
      <c r="B216" s="1051" t="s">
        <v>974</v>
      </c>
      <c r="C216" s="1052">
        <v>43311</v>
      </c>
      <c r="D216" s="1053">
        <v>288.88</v>
      </c>
    </row>
    <row r="217" spans="1:4">
      <c r="A217" s="1050" t="s">
        <v>769</v>
      </c>
      <c r="B217" s="1051" t="s">
        <v>633</v>
      </c>
      <c r="C217" s="1052">
        <v>43311</v>
      </c>
      <c r="D217" s="1053">
        <v>2500</v>
      </c>
    </row>
    <row r="218" spans="1:4">
      <c r="A218" s="1050" t="s">
        <v>909</v>
      </c>
      <c r="B218" s="1051" t="s">
        <v>908</v>
      </c>
      <c r="C218" s="1052">
        <v>43311</v>
      </c>
      <c r="D218" s="1053">
        <v>1258.28</v>
      </c>
    </row>
    <row r="219" spans="1:4">
      <c r="A219" s="1050" t="s">
        <v>715</v>
      </c>
      <c r="B219" s="1051" t="s">
        <v>714</v>
      </c>
      <c r="C219" s="1052">
        <v>43311</v>
      </c>
      <c r="D219" s="1053">
        <v>3500</v>
      </c>
    </row>
    <row r="220" spans="1:4">
      <c r="A220" s="1050" t="s">
        <v>715</v>
      </c>
      <c r="B220" s="1051" t="s">
        <v>714</v>
      </c>
      <c r="C220" s="1052">
        <v>43311</v>
      </c>
      <c r="D220" s="1053">
        <v>1419.54</v>
      </c>
    </row>
    <row r="221" spans="1:4">
      <c r="A221" s="1050" t="s">
        <v>566</v>
      </c>
      <c r="B221" s="1051" t="s">
        <v>565</v>
      </c>
      <c r="C221" s="1052">
        <v>43311</v>
      </c>
      <c r="D221" s="1053">
        <v>2910.57</v>
      </c>
    </row>
    <row r="222" spans="1:4">
      <c r="A222" s="1050" t="s">
        <v>768</v>
      </c>
      <c r="B222" s="1051" t="s">
        <v>767</v>
      </c>
      <c r="C222" s="1052">
        <v>43311</v>
      </c>
      <c r="D222" s="1053">
        <v>506.68</v>
      </c>
    </row>
    <row r="223" spans="1:4">
      <c r="A223" s="1050" t="s">
        <v>907</v>
      </c>
      <c r="B223" s="1051" t="s">
        <v>906</v>
      </c>
      <c r="C223" s="1052">
        <v>43311</v>
      </c>
      <c r="D223" s="1053">
        <v>226</v>
      </c>
    </row>
    <row r="224" spans="1:4">
      <c r="A224" s="1050" t="s">
        <v>671</v>
      </c>
      <c r="B224" s="1051" t="s">
        <v>670</v>
      </c>
      <c r="C224" s="1052">
        <v>43311</v>
      </c>
      <c r="D224" s="1053">
        <v>208.61</v>
      </c>
    </row>
    <row r="225" spans="1:4">
      <c r="A225" s="1050" t="s">
        <v>669</v>
      </c>
      <c r="B225" s="1051" t="s">
        <v>668</v>
      </c>
      <c r="C225" s="1052">
        <v>43311</v>
      </c>
      <c r="D225" s="1053">
        <v>951.35</v>
      </c>
    </row>
    <row r="226" spans="1:4">
      <c r="A226" s="1050" t="s">
        <v>1144</v>
      </c>
      <c r="B226" s="1051" t="s">
        <v>1143</v>
      </c>
      <c r="C226" s="1052">
        <v>43311</v>
      </c>
      <c r="D226" s="1053">
        <v>488.98</v>
      </c>
    </row>
    <row r="227" spans="1:4">
      <c r="A227" s="1050" t="s">
        <v>545</v>
      </c>
      <c r="B227" s="1051" t="s">
        <v>764</v>
      </c>
      <c r="C227" s="1052">
        <v>43311</v>
      </c>
      <c r="D227" s="1053">
        <v>1759.1</v>
      </c>
    </row>
    <row r="228" spans="1:4">
      <c r="A228" s="1050" t="s">
        <v>905</v>
      </c>
      <c r="B228" s="1051" t="s">
        <v>904</v>
      </c>
      <c r="C228" s="1052">
        <v>43311</v>
      </c>
      <c r="D228" s="1053">
        <v>714</v>
      </c>
    </row>
    <row r="229" spans="1:4">
      <c r="A229" s="1050" t="s">
        <v>903</v>
      </c>
      <c r="B229" s="1051" t="s">
        <v>902</v>
      </c>
      <c r="C229" s="1052">
        <v>43311</v>
      </c>
      <c r="D229" s="1053">
        <v>200</v>
      </c>
    </row>
    <row r="230" spans="1:4">
      <c r="A230" s="1050" t="s">
        <v>749</v>
      </c>
      <c r="B230" s="1051" t="s">
        <v>748</v>
      </c>
      <c r="C230" s="1052">
        <v>43311</v>
      </c>
      <c r="D230" s="1053">
        <v>425</v>
      </c>
    </row>
    <row r="231" spans="1:4">
      <c r="A231" s="1046" t="s">
        <v>749</v>
      </c>
      <c r="B231" s="1047" t="s">
        <v>748</v>
      </c>
      <c r="C231" s="1048">
        <v>43311</v>
      </c>
      <c r="D231" s="1049">
        <v>430</v>
      </c>
    </row>
    <row r="232" spans="1:4">
      <c r="A232" s="1050" t="s">
        <v>901</v>
      </c>
      <c r="B232" s="1051" t="s">
        <v>900</v>
      </c>
      <c r="C232" s="1052">
        <v>43311</v>
      </c>
      <c r="D232" s="1053">
        <v>238.01</v>
      </c>
    </row>
    <row r="233" spans="1:4">
      <c r="A233" s="1046" t="s">
        <v>1155</v>
      </c>
      <c r="B233" s="1047" t="s">
        <v>1154</v>
      </c>
      <c r="C233" s="1048">
        <v>43311</v>
      </c>
      <c r="D233" s="1049">
        <v>796.47199999999998</v>
      </c>
    </row>
    <row r="234" spans="1:4">
      <c r="A234" s="1050" t="s">
        <v>661</v>
      </c>
      <c r="B234" s="1051" t="s">
        <v>660</v>
      </c>
      <c r="C234" s="1052">
        <v>43311</v>
      </c>
      <c r="D234" s="1053">
        <v>933.26</v>
      </c>
    </row>
    <row r="235" spans="1:4">
      <c r="A235" s="1050" t="s">
        <v>661</v>
      </c>
      <c r="B235" s="1051" t="s">
        <v>660</v>
      </c>
      <c r="C235" s="1052">
        <v>43311</v>
      </c>
      <c r="D235" s="1053">
        <v>1454.99</v>
      </c>
    </row>
    <row r="236" spans="1:4">
      <c r="A236" s="1050" t="s">
        <v>422</v>
      </c>
      <c r="B236" s="1051" t="s">
        <v>899</v>
      </c>
      <c r="C236" s="1052">
        <v>43311</v>
      </c>
      <c r="D236" s="1053">
        <v>494.06</v>
      </c>
    </row>
    <row r="237" spans="1:4">
      <c r="A237" s="1050" t="s">
        <v>420</v>
      </c>
      <c r="B237" s="1051" t="s">
        <v>478</v>
      </c>
      <c r="C237" s="1052">
        <v>43311</v>
      </c>
      <c r="D237" s="1053">
        <v>1560</v>
      </c>
    </row>
    <row r="238" spans="1:4">
      <c r="A238" s="1050" t="s">
        <v>628</v>
      </c>
      <c r="B238" s="1051" t="s">
        <v>898</v>
      </c>
      <c r="C238" s="1052">
        <v>43311</v>
      </c>
      <c r="D238" s="1053">
        <v>3227.27</v>
      </c>
    </row>
    <row r="239" spans="1:4">
      <c r="A239" s="1050" t="s">
        <v>897</v>
      </c>
      <c r="B239" s="1051" t="s">
        <v>658</v>
      </c>
      <c r="C239" s="1052">
        <v>43311</v>
      </c>
      <c r="D239" s="1053">
        <v>1052.53</v>
      </c>
    </row>
    <row r="240" spans="1:4">
      <c r="A240" s="1050" t="s">
        <v>730</v>
      </c>
      <c r="B240" s="1051" t="s">
        <v>729</v>
      </c>
      <c r="C240" s="1052">
        <v>43311</v>
      </c>
      <c r="D240" s="1053">
        <v>821.25</v>
      </c>
    </row>
    <row r="241" spans="1:4">
      <c r="A241" s="1046" t="s">
        <v>1182</v>
      </c>
      <c r="B241" s="1047" t="s">
        <v>1181</v>
      </c>
      <c r="C241" s="1048">
        <v>43311</v>
      </c>
      <c r="D241" s="1049">
        <v>522.32600000000002</v>
      </c>
    </row>
    <row r="242" spans="1:4">
      <c r="A242" s="1050" t="s">
        <v>653</v>
      </c>
      <c r="B242" s="1051" t="s">
        <v>652</v>
      </c>
      <c r="C242" s="1052">
        <v>43311</v>
      </c>
      <c r="D242" s="1053">
        <v>674.38</v>
      </c>
    </row>
    <row r="243" spans="1:4">
      <c r="A243" s="1050" t="s">
        <v>896</v>
      </c>
      <c r="B243" s="1051" t="s">
        <v>650</v>
      </c>
      <c r="C243" s="1052">
        <v>43311</v>
      </c>
      <c r="D243" s="1053">
        <v>4225.9799999999996</v>
      </c>
    </row>
    <row r="244" spans="1:4">
      <c r="A244" s="1050" t="s">
        <v>895</v>
      </c>
      <c r="B244" s="1051" t="s">
        <v>894</v>
      </c>
      <c r="C244" s="1052">
        <v>43311</v>
      </c>
      <c r="D244" s="1053">
        <v>4802.96</v>
      </c>
    </row>
    <row r="245" spans="1:4">
      <c r="A245" s="1046" t="s">
        <v>895</v>
      </c>
      <c r="B245" s="1047" t="s">
        <v>894</v>
      </c>
      <c r="C245" s="1048">
        <v>43311</v>
      </c>
      <c r="D245" s="1049">
        <v>682.29200000000003</v>
      </c>
    </row>
    <row r="246" spans="1:4">
      <c r="A246" s="1050" t="s">
        <v>641</v>
      </c>
      <c r="B246" s="1051" t="s">
        <v>893</v>
      </c>
      <c r="C246" s="1052">
        <v>43311</v>
      </c>
      <c r="D246" s="1053">
        <v>754.64</v>
      </c>
    </row>
    <row r="247" spans="1:4">
      <c r="A247" s="1050" t="s">
        <v>892</v>
      </c>
      <c r="B247" s="1051" t="s">
        <v>891</v>
      </c>
      <c r="C247" s="1052">
        <v>43311</v>
      </c>
      <c r="D247" s="1053">
        <v>3254.85</v>
      </c>
    </row>
    <row r="248" spans="1:4">
      <c r="A248" s="1050" t="s">
        <v>649</v>
      </c>
      <c r="B248" s="1051" t="s">
        <v>648</v>
      </c>
      <c r="C248" s="1052">
        <v>43311</v>
      </c>
      <c r="D248" s="1053">
        <v>3930.84</v>
      </c>
    </row>
    <row r="249" spans="1:4">
      <c r="A249" s="1050" t="s">
        <v>647</v>
      </c>
      <c r="B249" s="1051" t="s">
        <v>646</v>
      </c>
      <c r="C249" s="1052">
        <v>43311</v>
      </c>
      <c r="D249" s="1053">
        <v>3366.21</v>
      </c>
    </row>
    <row r="250" spans="1:4">
      <c r="A250" s="1050" t="s">
        <v>639</v>
      </c>
      <c r="B250" s="1051" t="s">
        <v>890</v>
      </c>
      <c r="C250" s="1052">
        <v>43311</v>
      </c>
      <c r="D250" s="1053">
        <v>1470.42</v>
      </c>
    </row>
    <row r="251" spans="1:4">
      <c r="A251" s="1050" t="s">
        <v>440</v>
      </c>
      <c r="B251" s="1051" t="s">
        <v>439</v>
      </c>
      <c r="C251" s="1052">
        <v>43311</v>
      </c>
      <c r="D251" s="1053">
        <v>1272.6199999999999</v>
      </c>
    </row>
    <row r="252" spans="1:4">
      <c r="A252" s="1050" t="s">
        <v>438</v>
      </c>
      <c r="B252" s="1051" t="s">
        <v>437</v>
      </c>
      <c r="C252" s="1052">
        <v>43311</v>
      </c>
      <c r="D252" s="1053">
        <v>500</v>
      </c>
    </row>
    <row r="253" spans="1:4">
      <c r="A253" s="1050" t="s">
        <v>517</v>
      </c>
      <c r="B253" s="1051" t="s">
        <v>516</v>
      </c>
      <c r="C253" s="1052">
        <v>43311</v>
      </c>
      <c r="D253" s="1053">
        <v>650.36</v>
      </c>
    </row>
    <row r="254" spans="1:4">
      <c r="A254" s="1050" t="s">
        <v>583</v>
      </c>
      <c r="B254" s="1051" t="s">
        <v>582</v>
      </c>
      <c r="C254" s="1052">
        <v>43311</v>
      </c>
      <c r="D254" s="1053">
        <v>3977.06</v>
      </c>
    </row>
    <row r="255" spans="1:4">
      <c r="A255" s="1050" t="s">
        <v>889</v>
      </c>
      <c r="B255" s="1051" t="s">
        <v>888</v>
      </c>
      <c r="C255" s="1052">
        <v>43311</v>
      </c>
      <c r="D255" s="1053">
        <v>399.38</v>
      </c>
    </row>
    <row r="256" spans="1:4">
      <c r="A256" s="1050" t="s">
        <v>887</v>
      </c>
      <c r="B256" s="1051" t="s">
        <v>886</v>
      </c>
      <c r="C256" s="1052">
        <v>43311</v>
      </c>
      <c r="D256" s="1053">
        <v>1064.3900000000001</v>
      </c>
    </row>
    <row r="257" spans="1:4">
      <c r="A257" s="1050" t="s">
        <v>429</v>
      </c>
      <c r="B257" s="1051" t="s">
        <v>428</v>
      </c>
      <c r="C257" s="1052">
        <v>43312</v>
      </c>
      <c r="D257" s="1053">
        <v>243.5</v>
      </c>
    </row>
    <row r="258" spans="1:4">
      <c r="A258" s="1050" t="s">
        <v>623</v>
      </c>
      <c r="B258" s="1051" t="s">
        <v>622</v>
      </c>
      <c r="C258" s="1052">
        <v>43312</v>
      </c>
      <c r="D258" s="1053">
        <v>557.94000000000005</v>
      </c>
    </row>
    <row r="259" spans="1:4">
      <c r="A259" s="1050" t="s">
        <v>467</v>
      </c>
      <c r="B259" s="1051" t="s">
        <v>466</v>
      </c>
      <c r="C259" s="1052">
        <v>43312</v>
      </c>
      <c r="D259" s="1053">
        <v>5052.55</v>
      </c>
    </row>
    <row r="260" spans="1:4">
      <c r="A260" s="1050" t="s">
        <v>879</v>
      </c>
      <c r="B260" s="1051" t="s">
        <v>620</v>
      </c>
      <c r="C260" s="1052">
        <v>43312</v>
      </c>
      <c r="D260" s="1053">
        <v>1812.23</v>
      </c>
    </row>
    <row r="261" spans="1:4">
      <c r="A261" s="1050" t="s">
        <v>1118</v>
      </c>
      <c r="B261" s="1051" t="s">
        <v>1047</v>
      </c>
      <c r="C261" s="1052">
        <v>43312</v>
      </c>
      <c r="D261" s="1053">
        <v>3276.2</v>
      </c>
    </row>
    <row r="262" spans="1:4">
      <c r="A262" s="1050" t="s">
        <v>878</v>
      </c>
      <c r="B262" s="1051" t="s">
        <v>575</v>
      </c>
      <c r="C262" s="1052">
        <v>43312</v>
      </c>
      <c r="D262" s="1053">
        <v>866</v>
      </c>
    </row>
    <row r="263" spans="1:4">
      <c r="A263" s="1050" t="s">
        <v>877</v>
      </c>
      <c r="B263" s="1051" t="s">
        <v>876</v>
      </c>
      <c r="C263" s="1052">
        <v>43312</v>
      </c>
      <c r="D263" s="1053">
        <v>1429.17</v>
      </c>
    </row>
    <row r="264" spans="1:4">
      <c r="A264" s="1050" t="s">
        <v>398</v>
      </c>
      <c r="B264" s="1051" t="s">
        <v>397</v>
      </c>
      <c r="C264" s="1052">
        <v>43312</v>
      </c>
      <c r="D264" s="1053">
        <v>371.4</v>
      </c>
    </row>
    <row r="265" spans="1:4">
      <c r="A265" s="1050" t="s">
        <v>875</v>
      </c>
      <c r="B265" s="1051" t="s">
        <v>397</v>
      </c>
      <c r="C265" s="1052">
        <v>43312</v>
      </c>
      <c r="D265" s="1053">
        <v>400</v>
      </c>
    </row>
    <row r="266" spans="1:4">
      <c r="A266" s="1050" t="s">
        <v>830</v>
      </c>
      <c r="B266" s="1051" t="s">
        <v>829</v>
      </c>
      <c r="C266" s="1052">
        <v>43312</v>
      </c>
      <c r="D266" s="1053">
        <v>366.92</v>
      </c>
    </row>
    <row r="267" spans="1:4">
      <c r="A267" s="1046" t="s">
        <v>1204</v>
      </c>
      <c r="B267" s="1047" t="s">
        <v>700</v>
      </c>
      <c r="C267" s="1048">
        <v>43312</v>
      </c>
      <c r="D267" s="1049">
        <v>500</v>
      </c>
    </row>
    <row r="268" spans="1:4">
      <c r="A268" s="1050" t="s">
        <v>619</v>
      </c>
      <c r="B268" s="1051" t="s">
        <v>618</v>
      </c>
      <c r="C268" s="1052">
        <v>43312</v>
      </c>
      <c r="D268" s="1053">
        <v>2168.42</v>
      </c>
    </row>
    <row r="269" spans="1:4">
      <c r="A269" s="1050" t="s">
        <v>874</v>
      </c>
      <c r="B269" s="1051" t="s">
        <v>873</v>
      </c>
      <c r="C269" s="1052">
        <v>43312</v>
      </c>
      <c r="D269" s="1053">
        <v>527.08000000000004</v>
      </c>
    </row>
    <row r="270" spans="1:4">
      <c r="A270" s="1050" t="s">
        <v>402</v>
      </c>
      <c r="B270" s="1051" t="s">
        <v>401</v>
      </c>
      <c r="C270" s="1052">
        <v>43312</v>
      </c>
      <c r="D270" s="1053">
        <v>542.48</v>
      </c>
    </row>
    <row r="271" spans="1:4">
      <c r="A271" s="1050" t="s">
        <v>427</v>
      </c>
      <c r="B271" s="1051" t="s">
        <v>426</v>
      </c>
      <c r="C271" s="1052">
        <v>43312</v>
      </c>
      <c r="D271" s="1053">
        <v>793.65</v>
      </c>
    </row>
    <row r="272" spans="1:4">
      <c r="A272" s="1050" t="s">
        <v>544</v>
      </c>
      <c r="B272" s="1051" t="s">
        <v>543</v>
      </c>
      <c r="C272" s="1052">
        <v>43312</v>
      </c>
      <c r="D272" s="1053">
        <v>998.84</v>
      </c>
    </row>
    <row r="273" spans="1:4">
      <c r="A273" s="1050" t="s">
        <v>872</v>
      </c>
      <c r="B273" s="1051" t="s">
        <v>871</v>
      </c>
      <c r="C273" s="1052">
        <v>43312</v>
      </c>
      <c r="D273" s="1053">
        <v>799.8</v>
      </c>
    </row>
    <row r="274" spans="1:4">
      <c r="A274" s="1050" t="s">
        <v>695</v>
      </c>
      <c r="B274" s="1051" t="s">
        <v>694</v>
      </c>
      <c r="C274" s="1052">
        <v>43312</v>
      </c>
      <c r="D274" s="1053">
        <v>8000</v>
      </c>
    </row>
    <row r="275" spans="1:4">
      <c r="A275" s="1050" t="s">
        <v>616</v>
      </c>
      <c r="B275" s="1051" t="s">
        <v>615</v>
      </c>
      <c r="C275" s="1052">
        <v>43312</v>
      </c>
      <c r="D275" s="1053">
        <v>906.67</v>
      </c>
    </row>
    <row r="276" spans="1:4">
      <c r="A276" s="1050" t="s">
        <v>462</v>
      </c>
      <c r="B276" s="1051" t="s">
        <v>461</v>
      </c>
      <c r="C276" s="1052">
        <v>43312</v>
      </c>
      <c r="D276" s="1053">
        <v>2836.46</v>
      </c>
    </row>
    <row r="277" spans="1:4">
      <c r="A277" s="1050" t="s">
        <v>870</v>
      </c>
      <c r="B277" s="1051" t="s">
        <v>869</v>
      </c>
      <c r="C277" s="1052">
        <v>43312</v>
      </c>
      <c r="D277" s="1053">
        <v>1000</v>
      </c>
    </row>
    <row r="278" spans="1:4">
      <c r="A278" s="1050" t="s">
        <v>868</v>
      </c>
      <c r="B278" s="1051" t="s">
        <v>867</v>
      </c>
      <c r="C278" s="1052">
        <v>43312</v>
      </c>
      <c r="D278" s="1053">
        <v>1360.49</v>
      </c>
    </row>
    <row r="279" spans="1:4">
      <c r="A279" s="1050" t="s">
        <v>613</v>
      </c>
      <c r="B279" s="1051" t="s">
        <v>612</v>
      </c>
      <c r="C279" s="1052">
        <v>43312</v>
      </c>
      <c r="D279" s="1053">
        <v>2597.84</v>
      </c>
    </row>
    <row r="280" spans="1:4">
      <c r="A280" s="1050" t="s">
        <v>684</v>
      </c>
      <c r="B280" s="1051" t="s">
        <v>457</v>
      </c>
      <c r="C280" s="1052">
        <v>43312</v>
      </c>
      <c r="D280" s="1053">
        <v>866</v>
      </c>
    </row>
    <row r="281" spans="1:4">
      <c r="A281" s="1050" t="s">
        <v>1114</v>
      </c>
      <c r="B281" s="1051" t="s">
        <v>1113</v>
      </c>
      <c r="C281" s="1052">
        <v>43312</v>
      </c>
      <c r="D281" s="1053">
        <v>2500</v>
      </c>
    </row>
    <row r="282" spans="1:4">
      <c r="A282" s="1050" t="s">
        <v>832</v>
      </c>
      <c r="B282" s="1051" t="s">
        <v>831</v>
      </c>
      <c r="C282" s="1052">
        <v>43312</v>
      </c>
      <c r="D282" s="1053">
        <v>1315.69</v>
      </c>
    </row>
    <row r="283" spans="1:4">
      <c r="A283" s="1050" t="s">
        <v>866</v>
      </c>
      <c r="B283" s="1051" t="s">
        <v>865</v>
      </c>
      <c r="C283" s="1052">
        <v>43312</v>
      </c>
      <c r="D283" s="1053">
        <v>332.61</v>
      </c>
    </row>
    <row r="284" spans="1:4">
      <c r="A284" s="1050" t="s">
        <v>607</v>
      </c>
      <c r="B284" s="1051" t="s">
        <v>366</v>
      </c>
      <c r="C284" s="1052">
        <v>43312</v>
      </c>
      <c r="D284" s="1053">
        <v>7500</v>
      </c>
    </row>
    <row r="285" spans="1:4">
      <c r="A285" s="1050" t="s">
        <v>577</v>
      </c>
      <c r="B285" s="1051" t="s">
        <v>864</v>
      </c>
      <c r="C285" s="1052">
        <v>43312</v>
      </c>
      <c r="D285" s="1053">
        <v>707.16</v>
      </c>
    </row>
    <row r="286" spans="1:4">
      <c r="A286" s="1050" t="s">
        <v>863</v>
      </c>
      <c r="B286" s="1051" t="s">
        <v>862</v>
      </c>
      <c r="C286" s="1052">
        <v>43312</v>
      </c>
      <c r="D286" s="1053">
        <v>923.65</v>
      </c>
    </row>
    <row r="287" spans="1:4">
      <c r="A287" s="1050" t="s">
        <v>384</v>
      </c>
      <c r="B287" s="1051" t="s">
        <v>455</v>
      </c>
      <c r="C287" s="1052">
        <v>43312</v>
      </c>
      <c r="D287" s="1053">
        <v>850</v>
      </c>
    </row>
    <row r="288" spans="1:4">
      <c r="A288" s="1050" t="s">
        <v>861</v>
      </c>
      <c r="B288" s="1051" t="s">
        <v>605</v>
      </c>
      <c r="C288" s="1052">
        <v>43312</v>
      </c>
      <c r="D288" s="1053">
        <v>2737.62</v>
      </c>
    </row>
    <row r="289" spans="1:4">
      <c r="A289" s="1050" t="s">
        <v>454</v>
      </c>
      <c r="B289" s="1051" t="s">
        <v>453</v>
      </c>
      <c r="C289" s="1052">
        <v>43312</v>
      </c>
      <c r="D289" s="1053">
        <v>1750</v>
      </c>
    </row>
    <row r="290" spans="1:4">
      <c r="A290" s="1050" t="s">
        <v>676</v>
      </c>
      <c r="B290" s="1051" t="s">
        <v>675</v>
      </c>
      <c r="C290" s="1052">
        <v>43312</v>
      </c>
      <c r="D290" s="1053">
        <v>688.97</v>
      </c>
    </row>
    <row r="291" spans="1:4">
      <c r="A291" s="1050" t="s">
        <v>1142</v>
      </c>
      <c r="B291" s="1051" t="s">
        <v>1141</v>
      </c>
      <c r="C291" s="1052">
        <v>43312</v>
      </c>
      <c r="D291" s="1053">
        <v>889.7</v>
      </c>
    </row>
    <row r="292" spans="1:4">
      <c r="A292" s="1050" t="s">
        <v>452</v>
      </c>
      <c r="B292" s="1051" t="s">
        <v>451</v>
      </c>
      <c r="C292" s="1052">
        <v>43312</v>
      </c>
      <c r="D292" s="1053">
        <v>3135.22</v>
      </c>
    </row>
    <row r="293" spans="1:4">
      <c r="A293" s="1050" t="s">
        <v>573</v>
      </c>
      <c r="B293" s="1051" t="s">
        <v>572</v>
      </c>
      <c r="C293" s="1052">
        <v>43312</v>
      </c>
      <c r="D293" s="1053">
        <v>257.88</v>
      </c>
    </row>
    <row r="294" spans="1:4">
      <c r="A294" s="1050" t="s">
        <v>602</v>
      </c>
      <c r="B294" s="1051" t="s">
        <v>601</v>
      </c>
      <c r="C294" s="1052">
        <v>43312</v>
      </c>
      <c r="D294" s="1053">
        <v>2096.84</v>
      </c>
    </row>
    <row r="295" spans="1:4">
      <c r="A295" s="1050" t="s">
        <v>385</v>
      </c>
      <c r="B295" s="1051" t="s">
        <v>364</v>
      </c>
      <c r="C295" s="1052">
        <v>43312</v>
      </c>
      <c r="D295" s="1053">
        <v>1118.21</v>
      </c>
    </row>
    <row r="296" spans="1:4">
      <c r="A296" s="1050" t="s">
        <v>450</v>
      </c>
      <c r="B296" s="1051" t="s">
        <v>449</v>
      </c>
      <c r="C296" s="1052">
        <v>43312</v>
      </c>
      <c r="D296" s="1053">
        <v>1725</v>
      </c>
    </row>
    <row r="297" spans="1:4">
      <c r="A297" s="1050" t="s">
        <v>448</v>
      </c>
      <c r="B297" s="1051" t="s">
        <v>447</v>
      </c>
      <c r="C297" s="1052">
        <v>43312</v>
      </c>
      <c r="D297" s="1053">
        <v>4087.29</v>
      </c>
    </row>
    <row r="298" spans="1:4">
      <c r="A298" s="1050" t="s">
        <v>673</v>
      </c>
      <c r="B298" s="1051" t="s">
        <v>672</v>
      </c>
      <c r="C298" s="1052">
        <v>43312</v>
      </c>
      <c r="D298" s="1053">
        <v>1167.03</v>
      </c>
    </row>
    <row r="299" spans="1:4">
      <c r="A299" s="1050" t="s">
        <v>476</v>
      </c>
      <c r="B299" s="1051" t="s">
        <v>475</v>
      </c>
      <c r="C299" s="1052">
        <v>43312</v>
      </c>
      <c r="D299" s="1053">
        <v>469.76</v>
      </c>
    </row>
    <row r="300" spans="1:4">
      <c r="A300" s="1050" t="s">
        <v>860</v>
      </c>
      <c r="B300" s="1051" t="s">
        <v>859</v>
      </c>
      <c r="C300" s="1052">
        <v>43312</v>
      </c>
      <c r="D300" s="1053">
        <v>3701.8</v>
      </c>
    </row>
    <row r="301" spans="1:4">
      <c r="A301" s="1050" t="s">
        <v>596</v>
      </c>
      <c r="B301" s="1051" t="s">
        <v>595</v>
      </c>
      <c r="C301" s="1052">
        <v>43312</v>
      </c>
      <c r="D301" s="1053">
        <v>3183.1</v>
      </c>
    </row>
    <row r="302" spans="1:4">
      <c r="A302" s="1050" t="s">
        <v>415</v>
      </c>
      <c r="B302" s="1051" t="s">
        <v>414</v>
      </c>
      <c r="C302" s="1052">
        <v>43312</v>
      </c>
      <c r="D302" s="1053">
        <v>1960</v>
      </c>
    </row>
    <row r="303" spans="1:4">
      <c r="A303" s="1050" t="s">
        <v>571</v>
      </c>
      <c r="B303" s="1051" t="s">
        <v>858</v>
      </c>
      <c r="C303" s="1052">
        <v>43312</v>
      </c>
      <c r="D303" s="1053">
        <v>2913.62</v>
      </c>
    </row>
    <row r="304" spans="1:4">
      <c r="A304" s="1050" t="s">
        <v>857</v>
      </c>
      <c r="B304" s="1051" t="s">
        <v>856</v>
      </c>
      <c r="C304" s="1052">
        <v>43312</v>
      </c>
      <c r="D304" s="1053">
        <v>2702.49</v>
      </c>
    </row>
    <row r="305" spans="1:4">
      <c r="A305" s="1050" t="s">
        <v>855</v>
      </c>
      <c r="B305" s="1051" t="s">
        <v>1140</v>
      </c>
      <c r="C305" s="1052">
        <v>43312</v>
      </c>
      <c r="D305" s="1053">
        <v>287.75</v>
      </c>
    </row>
    <row r="306" spans="1:4">
      <c r="A306" s="1050" t="s">
        <v>386</v>
      </c>
      <c r="B306" s="1051" t="s">
        <v>594</v>
      </c>
      <c r="C306" s="1052">
        <v>43312</v>
      </c>
      <c r="D306" s="1053">
        <v>668.14</v>
      </c>
    </row>
    <row r="307" spans="1:4">
      <c r="A307" s="1050" t="s">
        <v>719</v>
      </c>
      <c r="B307" s="1051" t="s">
        <v>718</v>
      </c>
      <c r="C307" s="1052">
        <v>43312</v>
      </c>
      <c r="D307" s="1053">
        <v>252.46</v>
      </c>
    </row>
    <row r="308" spans="1:4">
      <c r="A308" s="1050" t="s">
        <v>627</v>
      </c>
      <c r="B308" s="1051" t="s">
        <v>626</v>
      </c>
      <c r="C308" s="1052">
        <v>43312</v>
      </c>
      <c r="D308" s="1053">
        <v>1241.04</v>
      </c>
    </row>
    <row r="309" spans="1:4">
      <c r="A309" s="1050" t="s">
        <v>854</v>
      </c>
      <c r="B309" s="1051" t="s">
        <v>853</v>
      </c>
      <c r="C309" s="1052">
        <v>43312</v>
      </c>
      <c r="D309" s="1053">
        <v>1930.19</v>
      </c>
    </row>
    <row r="310" spans="1:4">
      <c r="A310" s="1050" t="s">
        <v>852</v>
      </c>
      <c r="B310" s="1051" t="s">
        <v>851</v>
      </c>
      <c r="C310" s="1052">
        <v>43312</v>
      </c>
      <c r="D310" s="1053">
        <v>394.95</v>
      </c>
    </row>
    <row r="311" spans="1:4">
      <c r="A311" s="1050" t="s">
        <v>850</v>
      </c>
      <c r="B311" s="1051" t="s">
        <v>849</v>
      </c>
      <c r="C311" s="1052">
        <v>43312</v>
      </c>
      <c r="D311" s="1053">
        <v>3326.28</v>
      </c>
    </row>
    <row r="312" spans="1:4">
      <c r="A312" s="1050" t="s">
        <v>1129</v>
      </c>
      <c r="B312" s="1051" t="s">
        <v>1128</v>
      </c>
      <c r="C312" s="1052">
        <v>43312</v>
      </c>
      <c r="D312" s="1053">
        <v>1000</v>
      </c>
    </row>
    <row r="313" spans="1:4">
      <c r="A313" s="1050" t="s">
        <v>828</v>
      </c>
      <c r="B313" s="1051" t="s">
        <v>827</v>
      </c>
      <c r="C313" s="1052">
        <v>43312</v>
      </c>
      <c r="D313" s="1053">
        <v>1126.05</v>
      </c>
    </row>
    <row r="314" spans="1:4">
      <c r="A314" s="1050" t="s">
        <v>848</v>
      </c>
      <c r="B314" s="1051" t="s">
        <v>847</v>
      </c>
      <c r="C314" s="1052">
        <v>43312</v>
      </c>
      <c r="D314" s="1053">
        <v>7415.61</v>
      </c>
    </row>
    <row r="315" spans="1:4">
      <c r="A315" s="1050" t="s">
        <v>657</v>
      </c>
      <c r="B315" s="1051" t="s">
        <v>656</v>
      </c>
      <c r="C315" s="1052">
        <v>43312</v>
      </c>
      <c r="D315" s="1053">
        <v>1300</v>
      </c>
    </row>
    <row r="316" spans="1:4">
      <c r="A316" s="1050" t="s">
        <v>1139</v>
      </c>
      <c r="B316" s="1051" t="s">
        <v>1138</v>
      </c>
      <c r="C316" s="1052">
        <v>43312</v>
      </c>
      <c r="D316" s="1053">
        <v>1094.0899999999999</v>
      </c>
    </row>
    <row r="317" spans="1:4">
      <c r="A317" s="1050" t="s">
        <v>1137</v>
      </c>
      <c r="B317" s="1051" t="s">
        <v>1136</v>
      </c>
      <c r="C317" s="1052">
        <v>43312</v>
      </c>
      <c r="D317" s="1053">
        <v>1087.4100000000001</v>
      </c>
    </row>
    <row r="318" spans="1:4">
      <c r="A318" s="1050" t="s">
        <v>846</v>
      </c>
      <c r="B318" s="1051" t="s">
        <v>845</v>
      </c>
      <c r="C318" s="1052">
        <v>43312</v>
      </c>
      <c r="D318" s="1053">
        <v>123.19</v>
      </c>
    </row>
    <row r="319" spans="1:4">
      <c r="A319" s="1050" t="s">
        <v>844</v>
      </c>
      <c r="B319" s="1051" t="s">
        <v>843</v>
      </c>
      <c r="C319" s="1052">
        <v>43312</v>
      </c>
      <c r="D319" s="1053">
        <v>494.63</v>
      </c>
    </row>
    <row r="320" spans="1:4">
      <c r="A320" s="1050" t="s">
        <v>581</v>
      </c>
      <c r="B320" s="1051" t="s">
        <v>580</v>
      </c>
      <c r="C320" s="1052">
        <v>43312</v>
      </c>
      <c r="D320" s="1053">
        <v>1427.04</v>
      </c>
    </row>
    <row r="321" spans="1:4">
      <c r="A321" s="1050" t="s">
        <v>842</v>
      </c>
      <c r="B321" s="1051" t="s">
        <v>841</v>
      </c>
      <c r="C321" s="1052">
        <v>43312</v>
      </c>
      <c r="D321" s="1053">
        <v>147.57</v>
      </c>
    </row>
    <row r="322" spans="1:4">
      <c r="A322" s="1050" t="s">
        <v>444</v>
      </c>
      <c r="B322" s="1051" t="s">
        <v>443</v>
      </c>
      <c r="C322" s="1052">
        <v>43312</v>
      </c>
      <c r="D322" s="1053">
        <v>2000</v>
      </c>
    </row>
    <row r="323" spans="1:4">
      <c r="A323" s="1050" t="s">
        <v>722</v>
      </c>
      <c r="B323" s="1051" t="s">
        <v>721</v>
      </c>
      <c r="C323" s="1052">
        <v>43312</v>
      </c>
      <c r="D323" s="1053">
        <v>1550.08</v>
      </c>
    </row>
    <row r="324" spans="1:4">
      <c r="A324" s="1050" t="s">
        <v>745</v>
      </c>
      <c r="B324" s="1051" t="s">
        <v>744</v>
      </c>
      <c r="C324" s="1052">
        <v>43312</v>
      </c>
      <c r="D324" s="1053">
        <v>700</v>
      </c>
    </row>
    <row r="325" spans="1:4">
      <c r="A325" s="1050" t="s">
        <v>591</v>
      </c>
      <c r="B325" s="1051" t="s">
        <v>590</v>
      </c>
      <c r="C325" s="1052">
        <v>43312</v>
      </c>
      <c r="D325" s="1053">
        <v>4397.88</v>
      </c>
    </row>
    <row r="326" spans="1:4">
      <c r="A326" s="1050" t="s">
        <v>840</v>
      </c>
      <c r="B326" s="1051" t="s">
        <v>839</v>
      </c>
      <c r="C326" s="1052">
        <v>43312</v>
      </c>
      <c r="D326" s="1053">
        <v>233.48</v>
      </c>
    </row>
    <row r="327" spans="1:4">
      <c r="A327" s="1050" t="s">
        <v>834</v>
      </c>
      <c r="B327" s="1051" t="s">
        <v>833</v>
      </c>
      <c r="C327" s="1052">
        <v>43312</v>
      </c>
      <c r="D327" s="1053">
        <v>1599.62</v>
      </c>
    </row>
    <row r="328" spans="1:4">
      <c r="A328" s="1050" t="s">
        <v>838</v>
      </c>
      <c r="B328" s="1051" t="s">
        <v>837</v>
      </c>
      <c r="C328" s="1052">
        <v>43312</v>
      </c>
      <c r="D328" s="1053">
        <v>1889.31</v>
      </c>
    </row>
    <row r="329" spans="1:4">
      <c r="A329" s="1050" t="s">
        <v>587</v>
      </c>
      <c r="B329" s="1051" t="s">
        <v>586</v>
      </c>
      <c r="C329" s="1052">
        <v>43312</v>
      </c>
      <c r="D329" s="1053">
        <v>2452.66</v>
      </c>
    </row>
    <row r="330" spans="1:4">
      <c r="A330" s="1050" t="s">
        <v>793</v>
      </c>
      <c r="B330" s="1051" t="s">
        <v>792</v>
      </c>
      <c r="C330" s="1052">
        <v>43312</v>
      </c>
      <c r="D330" s="1053">
        <v>2055</v>
      </c>
    </row>
    <row r="331" spans="1:4">
      <c r="A331" s="1046" t="s">
        <v>1174</v>
      </c>
      <c r="B331" s="1047" t="s">
        <v>1173</v>
      </c>
      <c r="C331" s="1048">
        <v>43312</v>
      </c>
      <c r="D331" s="1049">
        <v>317.70499999999998</v>
      </c>
    </row>
    <row r="332" spans="1:4">
      <c r="A332" s="1050" t="s">
        <v>739</v>
      </c>
      <c r="B332" s="1051" t="s">
        <v>738</v>
      </c>
      <c r="C332" s="1052">
        <v>43312</v>
      </c>
      <c r="D332" s="1053">
        <v>3700</v>
      </c>
    </row>
    <row r="333" spans="1:4">
      <c r="A333" s="1050" t="s">
        <v>585</v>
      </c>
      <c r="B333" s="1051" t="s">
        <v>584</v>
      </c>
      <c r="C333" s="1052">
        <v>43312</v>
      </c>
      <c r="D333" s="1053">
        <v>1773.51</v>
      </c>
    </row>
    <row r="334" spans="1:4">
      <c r="A334" s="1050" t="s">
        <v>1015</v>
      </c>
      <c r="B334" s="1051" t="s">
        <v>1014</v>
      </c>
      <c r="C334" s="1052">
        <v>43312</v>
      </c>
      <c r="D334" s="1053">
        <v>1936.49</v>
      </c>
    </row>
    <row r="335" spans="1:4" ht="15.75" thickBot="1">
      <c r="A335" s="1061" t="s">
        <v>836</v>
      </c>
      <c r="B335" s="1062" t="s">
        <v>835</v>
      </c>
      <c r="C335" s="1063">
        <v>43312</v>
      </c>
      <c r="D335" s="1064">
        <v>2282.94</v>
      </c>
    </row>
    <row r="336" spans="1:4" s="1044" customFormat="1" ht="15.75" thickBot="1">
      <c r="A336" s="1069" t="s">
        <v>1315</v>
      </c>
      <c r="B336" s="1070"/>
      <c r="C336" s="1070"/>
      <c r="D336" s="1071">
        <f>SUM(D2:D335)</f>
        <v>550544.39299999981</v>
      </c>
    </row>
    <row r="337" spans="1:4">
      <c r="A337" s="1065" t="s">
        <v>826</v>
      </c>
      <c r="B337" s="1066" t="s">
        <v>825</v>
      </c>
      <c r="C337" s="1067">
        <v>43313</v>
      </c>
      <c r="D337" s="1068">
        <v>2464.7600000000002</v>
      </c>
    </row>
    <row r="338" spans="1:4">
      <c r="A338" s="1050" t="s">
        <v>536</v>
      </c>
      <c r="B338" s="1051" t="s">
        <v>1126</v>
      </c>
      <c r="C338" s="1052">
        <v>43313</v>
      </c>
      <c r="D338" s="1053">
        <v>7500</v>
      </c>
    </row>
    <row r="339" spans="1:4">
      <c r="A339" s="1050" t="s">
        <v>824</v>
      </c>
      <c r="B339" s="1051" t="s">
        <v>406</v>
      </c>
      <c r="C339" s="1052">
        <v>43314</v>
      </c>
      <c r="D339" s="1053">
        <v>272.11</v>
      </c>
    </row>
    <row r="340" spans="1:4">
      <c r="A340" s="1050" t="s">
        <v>561</v>
      </c>
      <c r="B340" s="1051" t="s">
        <v>560</v>
      </c>
      <c r="C340" s="1052">
        <v>43314</v>
      </c>
      <c r="D340" s="1053">
        <v>1500</v>
      </c>
    </row>
    <row r="341" spans="1:4">
      <c r="A341" s="1050" t="s">
        <v>726</v>
      </c>
      <c r="B341" s="1051" t="s">
        <v>725</v>
      </c>
      <c r="C341" s="1052">
        <v>43314</v>
      </c>
      <c r="D341" s="1053">
        <v>2000</v>
      </c>
    </row>
    <row r="342" spans="1:4">
      <c r="A342" s="1050" t="s">
        <v>505</v>
      </c>
      <c r="B342" s="1051" t="s">
        <v>504</v>
      </c>
      <c r="C342" s="1052">
        <v>43314</v>
      </c>
      <c r="D342" s="1053">
        <v>1093.3900000000001</v>
      </c>
    </row>
    <row r="343" spans="1:4">
      <c r="A343" s="1050" t="s">
        <v>444</v>
      </c>
      <c r="B343" s="1051" t="s">
        <v>443</v>
      </c>
      <c r="C343" s="1052">
        <v>43314</v>
      </c>
      <c r="D343" s="1053">
        <v>2000</v>
      </c>
    </row>
    <row r="344" spans="1:4">
      <c r="A344" s="1050" t="s">
        <v>823</v>
      </c>
      <c r="B344" s="1051" t="s">
        <v>469</v>
      </c>
      <c r="C344" s="1052">
        <v>43314</v>
      </c>
      <c r="D344" s="1053">
        <v>686.04</v>
      </c>
    </row>
    <row r="345" spans="1:4">
      <c r="A345" s="1050" t="s">
        <v>728</v>
      </c>
      <c r="B345" s="1051" t="s">
        <v>727</v>
      </c>
      <c r="C345" s="1052">
        <v>43315</v>
      </c>
      <c r="D345" s="1053">
        <v>650.51</v>
      </c>
    </row>
    <row r="346" spans="1:4">
      <c r="A346" s="1050" t="s">
        <v>402</v>
      </c>
      <c r="B346" s="1051" t="s">
        <v>401</v>
      </c>
      <c r="C346" s="1052">
        <v>43315</v>
      </c>
      <c r="D346" s="1053">
        <v>634.79999999999995</v>
      </c>
    </row>
    <row r="347" spans="1:4">
      <c r="A347" s="1046" t="s">
        <v>735</v>
      </c>
      <c r="B347" s="1047" t="s">
        <v>734</v>
      </c>
      <c r="C347" s="1048">
        <v>43315</v>
      </c>
      <c r="D347" s="1049">
        <v>311.58199999999999</v>
      </c>
    </row>
    <row r="348" spans="1:4">
      <c r="A348" s="1050" t="s">
        <v>540</v>
      </c>
      <c r="B348" s="1051" t="s">
        <v>539</v>
      </c>
      <c r="C348" s="1052">
        <v>43315</v>
      </c>
      <c r="D348" s="1053">
        <v>794.33</v>
      </c>
    </row>
    <row r="349" spans="1:4">
      <c r="A349" s="1050" t="s">
        <v>415</v>
      </c>
      <c r="B349" s="1051" t="s">
        <v>414</v>
      </c>
      <c r="C349" s="1052">
        <v>43315</v>
      </c>
      <c r="D349" s="1053">
        <v>1973.29</v>
      </c>
    </row>
    <row r="350" spans="1:4">
      <c r="A350" s="1050" t="s">
        <v>822</v>
      </c>
      <c r="B350" s="1051" t="s">
        <v>821</v>
      </c>
      <c r="C350" s="1052">
        <v>43315</v>
      </c>
      <c r="D350" s="1053">
        <v>456.04</v>
      </c>
    </row>
    <row r="351" spans="1:4">
      <c r="A351" s="1050" t="s">
        <v>782</v>
      </c>
      <c r="B351" s="1051" t="s">
        <v>781</v>
      </c>
      <c r="C351" s="1052">
        <v>43316</v>
      </c>
      <c r="D351" s="1053">
        <v>3156.82</v>
      </c>
    </row>
    <row r="352" spans="1:4">
      <c r="A352" s="1050" t="s">
        <v>820</v>
      </c>
      <c r="B352" s="1051" t="s">
        <v>819</v>
      </c>
      <c r="C352" s="1052">
        <v>43317</v>
      </c>
      <c r="D352" s="1053">
        <v>684.53</v>
      </c>
    </row>
    <row r="353" spans="1:4">
      <c r="A353" s="1050" t="s">
        <v>818</v>
      </c>
      <c r="B353" s="1051" t="s">
        <v>817</v>
      </c>
      <c r="C353" s="1052">
        <v>43317</v>
      </c>
      <c r="D353" s="1053">
        <v>1247.8399999999999</v>
      </c>
    </row>
    <row r="354" spans="1:4">
      <c r="A354" s="1050" t="s">
        <v>816</v>
      </c>
      <c r="B354" s="1051" t="s">
        <v>815</v>
      </c>
      <c r="C354" s="1052">
        <v>43317</v>
      </c>
      <c r="D354" s="1053">
        <v>1324.61</v>
      </c>
    </row>
    <row r="355" spans="1:4">
      <c r="A355" s="1050" t="s">
        <v>405</v>
      </c>
      <c r="B355" s="1051" t="s">
        <v>404</v>
      </c>
      <c r="C355" s="1052">
        <v>43317</v>
      </c>
      <c r="D355" s="1053">
        <v>1201.48</v>
      </c>
    </row>
    <row r="356" spans="1:4">
      <c r="A356" s="1050" t="s">
        <v>814</v>
      </c>
      <c r="B356" s="1051" t="s">
        <v>813</v>
      </c>
      <c r="C356" s="1052">
        <v>43317</v>
      </c>
      <c r="D356" s="1053">
        <v>674.58</v>
      </c>
    </row>
    <row r="357" spans="1:4">
      <c r="A357" s="1050" t="s">
        <v>811</v>
      </c>
      <c r="B357" s="1051" t="s">
        <v>810</v>
      </c>
      <c r="C357" s="1052">
        <v>43317</v>
      </c>
      <c r="D357" s="1053">
        <v>2759.63</v>
      </c>
    </row>
    <row r="358" spans="1:4">
      <c r="A358" s="1050" t="s">
        <v>965</v>
      </c>
      <c r="B358" s="1051" t="s">
        <v>964</v>
      </c>
      <c r="C358" s="1052">
        <v>43317</v>
      </c>
      <c r="D358" s="1053">
        <v>11400.58</v>
      </c>
    </row>
    <row r="359" spans="1:4">
      <c r="A359" s="1050" t="s">
        <v>535</v>
      </c>
      <c r="B359" s="1051" t="s">
        <v>534</v>
      </c>
      <c r="C359" s="1052">
        <v>43317</v>
      </c>
      <c r="D359" s="1053">
        <v>2486.79</v>
      </c>
    </row>
    <row r="360" spans="1:4">
      <c r="A360" s="1050" t="s">
        <v>563</v>
      </c>
      <c r="B360" s="1051" t="s">
        <v>562</v>
      </c>
      <c r="C360" s="1052">
        <v>43317</v>
      </c>
      <c r="D360" s="1053">
        <v>6533.22</v>
      </c>
    </row>
    <row r="361" spans="1:4">
      <c r="A361" s="1050" t="s">
        <v>454</v>
      </c>
      <c r="B361" s="1051" t="s">
        <v>453</v>
      </c>
      <c r="C361" s="1052">
        <v>43317</v>
      </c>
      <c r="D361" s="1053">
        <v>1848.66</v>
      </c>
    </row>
    <row r="362" spans="1:4">
      <c r="A362" s="1050" t="s">
        <v>554</v>
      </c>
      <c r="B362" s="1051" t="s">
        <v>553</v>
      </c>
      <c r="C362" s="1052">
        <v>43317</v>
      </c>
      <c r="D362" s="1053">
        <v>2740.01</v>
      </c>
    </row>
    <row r="363" spans="1:4">
      <c r="A363" s="1050" t="s">
        <v>361</v>
      </c>
      <c r="B363" s="1051" t="s">
        <v>360</v>
      </c>
      <c r="C363" s="1052">
        <v>43317</v>
      </c>
      <c r="D363" s="1053">
        <v>999.7</v>
      </c>
    </row>
    <row r="364" spans="1:4">
      <c r="A364" s="1050" t="s">
        <v>566</v>
      </c>
      <c r="B364" s="1051" t="s">
        <v>565</v>
      </c>
      <c r="C364" s="1052">
        <v>43317</v>
      </c>
      <c r="D364" s="1053">
        <v>3000</v>
      </c>
    </row>
    <row r="365" spans="1:4">
      <c r="A365" s="1050" t="s">
        <v>749</v>
      </c>
      <c r="B365" s="1051" t="s">
        <v>748</v>
      </c>
      <c r="C365" s="1052">
        <v>43317</v>
      </c>
      <c r="D365" s="1053">
        <v>975.54</v>
      </c>
    </row>
    <row r="366" spans="1:4">
      <c r="A366" s="1050" t="s">
        <v>420</v>
      </c>
      <c r="B366" s="1051" t="s">
        <v>478</v>
      </c>
      <c r="C366" s="1052">
        <v>43317</v>
      </c>
      <c r="D366" s="1053">
        <v>1560</v>
      </c>
    </row>
    <row r="367" spans="1:4">
      <c r="A367" s="1050" t="s">
        <v>655</v>
      </c>
      <c r="B367" s="1051" t="s">
        <v>654</v>
      </c>
      <c r="C367" s="1052">
        <v>43317</v>
      </c>
      <c r="D367" s="1053">
        <v>1140.9100000000001</v>
      </c>
    </row>
    <row r="368" spans="1:4">
      <c r="A368" s="1050" t="s">
        <v>1019</v>
      </c>
      <c r="B368" s="1051" t="s">
        <v>1018</v>
      </c>
      <c r="C368" s="1052">
        <v>43317</v>
      </c>
      <c r="D368" s="1053">
        <v>589.29999999999995</v>
      </c>
    </row>
    <row r="369" spans="1:4">
      <c r="A369" s="1050" t="s">
        <v>812</v>
      </c>
      <c r="B369" s="1051" t="s">
        <v>516</v>
      </c>
      <c r="C369" s="1052">
        <v>43317</v>
      </c>
      <c r="D369" s="1053">
        <v>490</v>
      </c>
    </row>
    <row r="370" spans="1:4">
      <c r="A370" s="1050" t="s">
        <v>809</v>
      </c>
      <c r="B370" s="1051" t="s">
        <v>808</v>
      </c>
      <c r="C370" s="1052">
        <v>43318</v>
      </c>
      <c r="D370" s="1053">
        <v>371.74</v>
      </c>
    </row>
    <row r="371" spans="1:4">
      <c r="A371" s="1050" t="s">
        <v>489</v>
      </c>
      <c r="B371" s="1051" t="s">
        <v>488</v>
      </c>
      <c r="C371" s="1052">
        <v>43318</v>
      </c>
      <c r="D371" s="1053">
        <v>215.96</v>
      </c>
    </row>
    <row r="372" spans="1:4">
      <c r="A372" s="1050" t="s">
        <v>500</v>
      </c>
      <c r="B372" s="1051" t="s">
        <v>783</v>
      </c>
      <c r="C372" s="1052">
        <v>43318</v>
      </c>
      <c r="D372" s="1053">
        <v>650</v>
      </c>
    </row>
    <row r="373" spans="1:4">
      <c r="A373" s="1050" t="s">
        <v>402</v>
      </c>
      <c r="B373" s="1051" t="s">
        <v>401</v>
      </c>
      <c r="C373" s="1052">
        <v>43319</v>
      </c>
      <c r="D373" s="1053">
        <v>634.45000000000005</v>
      </c>
    </row>
    <row r="374" spans="1:4">
      <c r="A374" s="1050" t="s">
        <v>495</v>
      </c>
      <c r="B374" s="1051" t="s">
        <v>807</v>
      </c>
      <c r="C374" s="1052">
        <v>43319</v>
      </c>
      <c r="D374" s="1053">
        <v>3586.26</v>
      </c>
    </row>
    <row r="375" spans="1:4">
      <c r="A375" s="1050" t="s">
        <v>806</v>
      </c>
      <c r="B375" s="1051" t="s">
        <v>805</v>
      </c>
      <c r="C375" s="1052">
        <v>43319</v>
      </c>
      <c r="D375" s="1053">
        <v>800</v>
      </c>
    </row>
    <row r="376" spans="1:4">
      <c r="A376" s="1046" t="s">
        <v>1009</v>
      </c>
      <c r="B376" s="1047" t="s">
        <v>1008</v>
      </c>
      <c r="C376" s="1048">
        <v>43319</v>
      </c>
      <c r="D376" s="1049">
        <v>438</v>
      </c>
    </row>
    <row r="377" spans="1:4">
      <c r="A377" s="1050" t="s">
        <v>726</v>
      </c>
      <c r="B377" s="1051" t="s">
        <v>725</v>
      </c>
      <c r="C377" s="1052">
        <v>43319</v>
      </c>
      <c r="D377" s="1053">
        <v>4000</v>
      </c>
    </row>
    <row r="378" spans="1:4">
      <c r="A378" s="1050" t="s">
        <v>493</v>
      </c>
      <c r="B378" s="1051" t="s">
        <v>492</v>
      </c>
      <c r="C378" s="1052">
        <v>43319</v>
      </c>
      <c r="D378" s="1053">
        <v>1478.8</v>
      </c>
    </row>
    <row r="379" spans="1:4">
      <c r="A379" s="1050" t="s">
        <v>468</v>
      </c>
      <c r="B379" s="1051" t="s">
        <v>709</v>
      </c>
      <c r="C379" s="1052">
        <v>43319</v>
      </c>
      <c r="D379" s="1053">
        <v>1500</v>
      </c>
    </row>
    <row r="380" spans="1:4">
      <c r="A380" s="1050" t="s">
        <v>1118</v>
      </c>
      <c r="B380" s="1051" t="s">
        <v>1047</v>
      </c>
      <c r="C380" s="1052">
        <v>43320</v>
      </c>
      <c r="D380" s="1053">
        <v>3276.2</v>
      </c>
    </row>
    <row r="381" spans="1:4">
      <c r="A381" s="1050" t="s">
        <v>561</v>
      </c>
      <c r="B381" s="1051" t="s">
        <v>560</v>
      </c>
      <c r="C381" s="1052">
        <v>43320</v>
      </c>
      <c r="D381" s="1053">
        <v>1981.39</v>
      </c>
    </row>
    <row r="382" spans="1:4">
      <c r="A382" s="1050" t="s">
        <v>371</v>
      </c>
      <c r="B382" s="1051" t="s">
        <v>370</v>
      </c>
      <c r="C382" s="1052">
        <v>43320</v>
      </c>
      <c r="D382" s="1053">
        <v>2329.59</v>
      </c>
    </row>
    <row r="383" spans="1:4">
      <c r="A383" s="1050" t="s">
        <v>657</v>
      </c>
      <c r="B383" s="1051" t="s">
        <v>656</v>
      </c>
      <c r="C383" s="1052">
        <v>43320</v>
      </c>
      <c r="D383" s="1053">
        <v>1300</v>
      </c>
    </row>
    <row r="384" spans="1:4">
      <c r="A384" s="1050" t="s">
        <v>804</v>
      </c>
      <c r="B384" s="1051" t="s">
        <v>729</v>
      </c>
      <c r="C384" s="1052">
        <v>43320</v>
      </c>
      <c r="D384" s="1053">
        <v>507.78</v>
      </c>
    </row>
    <row r="385" spans="1:4">
      <c r="A385" s="1050" t="s">
        <v>480</v>
      </c>
      <c r="B385" s="1051" t="s">
        <v>479</v>
      </c>
      <c r="C385" s="1052">
        <v>43320</v>
      </c>
      <c r="D385" s="1053">
        <v>2500</v>
      </c>
    </row>
    <row r="386" spans="1:4">
      <c r="A386" s="1050" t="s">
        <v>803</v>
      </c>
      <c r="B386" s="1051" t="s">
        <v>412</v>
      </c>
      <c r="C386" s="1052">
        <v>43321</v>
      </c>
      <c r="D386" s="1053">
        <v>820.67</v>
      </c>
    </row>
    <row r="387" spans="1:4">
      <c r="A387" s="1050" t="s">
        <v>474</v>
      </c>
      <c r="B387" s="1051" t="s">
        <v>473</v>
      </c>
      <c r="C387" s="1052">
        <v>43321</v>
      </c>
      <c r="D387" s="1053">
        <v>960</v>
      </c>
    </row>
    <row r="388" spans="1:4">
      <c r="A388" s="1050" t="s">
        <v>713</v>
      </c>
      <c r="B388" s="1051" t="s">
        <v>712</v>
      </c>
      <c r="C388" s="1052">
        <v>43321</v>
      </c>
      <c r="D388" s="1053">
        <v>700</v>
      </c>
    </row>
    <row r="389" spans="1:4">
      <c r="A389" s="1050" t="s">
        <v>719</v>
      </c>
      <c r="B389" s="1051" t="s">
        <v>718</v>
      </c>
      <c r="C389" s="1052">
        <v>43321</v>
      </c>
      <c r="D389" s="1053">
        <v>250</v>
      </c>
    </row>
    <row r="390" spans="1:4">
      <c r="A390" s="1050" t="s">
        <v>470</v>
      </c>
      <c r="B390" s="1051" t="s">
        <v>469</v>
      </c>
      <c r="C390" s="1052">
        <v>43321</v>
      </c>
      <c r="D390" s="1053">
        <v>686.04</v>
      </c>
    </row>
    <row r="391" spans="1:4">
      <c r="A391" s="1050" t="s">
        <v>701</v>
      </c>
      <c r="B391" s="1051" t="s">
        <v>700</v>
      </c>
      <c r="C391" s="1052">
        <v>43322</v>
      </c>
      <c r="D391" s="1053">
        <v>600</v>
      </c>
    </row>
    <row r="392" spans="1:4">
      <c r="A392" s="1050" t="s">
        <v>402</v>
      </c>
      <c r="B392" s="1051" t="s">
        <v>401</v>
      </c>
      <c r="C392" s="1052">
        <v>43322</v>
      </c>
      <c r="D392" s="1053">
        <v>630.75</v>
      </c>
    </row>
    <row r="393" spans="1:4">
      <c r="A393" s="1050" t="s">
        <v>802</v>
      </c>
      <c r="B393" s="1051" t="s">
        <v>513</v>
      </c>
      <c r="C393" s="1052">
        <v>43322</v>
      </c>
      <c r="D393" s="1053">
        <v>613.75</v>
      </c>
    </row>
    <row r="394" spans="1:4">
      <c r="A394" s="1050" t="s">
        <v>564</v>
      </c>
      <c r="B394" s="1051" t="s">
        <v>404</v>
      </c>
      <c r="C394" s="1052">
        <v>43322</v>
      </c>
      <c r="D394" s="1053">
        <v>892.38</v>
      </c>
    </row>
    <row r="395" spans="1:4">
      <c r="A395" s="1050" t="s">
        <v>801</v>
      </c>
      <c r="B395" s="1051" t="s">
        <v>800</v>
      </c>
      <c r="C395" s="1052">
        <v>43322</v>
      </c>
      <c r="D395" s="1053">
        <v>3986.28</v>
      </c>
    </row>
    <row r="396" spans="1:4">
      <c r="A396" s="1050" t="s">
        <v>400</v>
      </c>
      <c r="B396" s="1051" t="s">
        <v>399</v>
      </c>
      <c r="C396" s="1052">
        <v>43322</v>
      </c>
      <c r="D396" s="1053">
        <v>2000</v>
      </c>
    </row>
    <row r="397" spans="1:4">
      <c r="A397" s="1050" t="s">
        <v>799</v>
      </c>
      <c r="B397" s="1051" t="s">
        <v>798</v>
      </c>
      <c r="C397" s="1052">
        <v>43322</v>
      </c>
      <c r="D397" s="1053">
        <v>4345.92</v>
      </c>
    </row>
    <row r="398" spans="1:4">
      <c r="A398" s="1050" t="s">
        <v>638</v>
      </c>
      <c r="B398" s="1051" t="s">
        <v>637</v>
      </c>
      <c r="C398" s="1052">
        <v>43322</v>
      </c>
      <c r="D398" s="1053">
        <v>2379.42</v>
      </c>
    </row>
    <row r="399" spans="1:4">
      <c r="A399" s="1050" t="s">
        <v>472</v>
      </c>
      <c r="B399" s="1051" t="s">
        <v>471</v>
      </c>
      <c r="C399" s="1052">
        <v>43322</v>
      </c>
      <c r="D399" s="1053">
        <v>7046.68</v>
      </c>
    </row>
    <row r="400" spans="1:4">
      <c r="A400" s="1050" t="s">
        <v>768</v>
      </c>
      <c r="B400" s="1051" t="s">
        <v>767</v>
      </c>
      <c r="C400" s="1052">
        <v>43322</v>
      </c>
      <c r="D400" s="1053">
        <v>364.89</v>
      </c>
    </row>
    <row r="401" spans="1:4">
      <c r="A401" s="1050" t="s">
        <v>568</v>
      </c>
      <c r="B401" s="1051" t="s">
        <v>567</v>
      </c>
      <c r="C401" s="1052">
        <v>43322</v>
      </c>
      <c r="D401" s="1053">
        <v>3426.41</v>
      </c>
    </row>
    <row r="402" spans="1:4">
      <c r="A402" s="1050" t="s">
        <v>512</v>
      </c>
      <c r="B402" s="1051" t="s">
        <v>597</v>
      </c>
      <c r="C402" s="1052">
        <v>43322</v>
      </c>
      <c r="D402" s="1053">
        <v>3046.13</v>
      </c>
    </row>
    <row r="403" spans="1:4">
      <c r="A403" s="1050" t="s">
        <v>667</v>
      </c>
      <c r="B403" s="1051" t="s">
        <v>666</v>
      </c>
      <c r="C403" s="1052">
        <v>43322</v>
      </c>
      <c r="D403" s="1053">
        <v>500</v>
      </c>
    </row>
    <row r="404" spans="1:4">
      <c r="A404" s="1050" t="s">
        <v>377</v>
      </c>
      <c r="B404" s="1051" t="s">
        <v>376</v>
      </c>
      <c r="C404" s="1052">
        <v>43322</v>
      </c>
      <c r="D404" s="1053">
        <v>3150.41</v>
      </c>
    </row>
    <row r="405" spans="1:4">
      <c r="A405" s="1050" t="s">
        <v>747</v>
      </c>
      <c r="B405" s="1051" t="s">
        <v>746</v>
      </c>
      <c r="C405" s="1052">
        <v>43322</v>
      </c>
      <c r="D405" s="1053">
        <v>2159.13</v>
      </c>
    </row>
    <row r="406" spans="1:4">
      <c r="A406" s="1050" t="s">
        <v>420</v>
      </c>
      <c r="B406" s="1051" t="s">
        <v>478</v>
      </c>
      <c r="C406" s="1052">
        <v>43322</v>
      </c>
      <c r="D406" s="1053">
        <v>1591.61</v>
      </c>
    </row>
    <row r="407" spans="1:4">
      <c r="A407" s="1050" t="s">
        <v>363</v>
      </c>
      <c r="B407" s="1051" t="s">
        <v>362</v>
      </c>
      <c r="C407" s="1052">
        <v>43322</v>
      </c>
      <c r="D407" s="1053">
        <v>2260</v>
      </c>
    </row>
    <row r="408" spans="1:4">
      <c r="A408" s="1050" t="s">
        <v>1135</v>
      </c>
      <c r="B408" s="1051" t="s">
        <v>1134</v>
      </c>
      <c r="C408" s="1052">
        <v>43322</v>
      </c>
      <c r="D408" s="1053">
        <v>287.2</v>
      </c>
    </row>
    <row r="409" spans="1:4">
      <c r="A409" s="1046" t="s">
        <v>1160</v>
      </c>
      <c r="B409" s="1047" t="s">
        <v>1159</v>
      </c>
      <c r="C409" s="1048">
        <v>43322</v>
      </c>
      <c r="D409" s="1049">
        <v>172.55</v>
      </c>
    </row>
    <row r="410" spans="1:4">
      <c r="A410" s="1050" t="s">
        <v>797</v>
      </c>
      <c r="B410" s="1051" t="s">
        <v>796</v>
      </c>
      <c r="C410" s="1052">
        <v>43322</v>
      </c>
      <c r="D410" s="1053">
        <v>737.06</v>
      </c>
    </row>
    <row r="411" spans="1:4">
      <c r="A411" s="1050" t="s">
        <v>546</v>
      </c>
      <c r="B411" s="1051" t="s">
        <v>795</v>
      </c>
      <c r="C411" s="1052">
        <v>43322</v>
      </c>
      <c r="D411" s="1053">
        <v>732.05</v>
      </c>
    </row>
    <row r="412" spans="1:4">
      <c r="A412" s="1050" t="s">
        <v>515</v>
      </c>
      <c r="B412" s="1051" t="s">
        <v>794</v>
      </c>
      <c r="C412" s="1052">
        <v>43322</v>
      </c>
      <c r="D412" s="1053">
        <v>4401.95</v>
      </c>
    </row>
    <row r="413" spans="1:4">
      <c r="A413" s="1050" t="s">
        <v>589</v>
      </c>
      <c r="B413" s="1051" t="s">
        <v>588</v>
      </c>
      <c r="C413" s="1052">
        <v>43322</v>
      </c>
      <c r="D413" s="1053">
        <v>1330.34</v>
      </c>
    </row>
    <row r="414" spans="1:4">
      <c r="A414" s="1050" t="s">
        <v>655</v>
      </c>
      <c r="B414" s="1051" t="s">
        <v>654</v>
      </c>
      <c r="C414" s="1052">
        <v>43322</v>
      </c>
      <c r="D414" s="1053">
        <v>750</v>
      </c>
    </row>
    <row r="415" spans="1:4">
      <c r="A415" s="1050" t="s">
        <v>793</v>
      </c>
      <c r="B415" s="1051" t="s">
        <v>792</v>
      </c>
      <c r="C415" s="1052">
        <v>43322</v>
      </c>
      <c r="D415" s="1053">
        <v>2055</v>
      </c>
    </row>
    <row r="416" spans="1:4">
      <c r="A416" s="1050" t="s">
        <v>791</v>
      </c>
      <c r="B416" s="1051" t="s">
        <v>790</v>
      </c>
      <c r="C416" s="1052">
        <v>43322</v>
      </c>
      <c r="D416" s="1053">
        <v>4344.29</v>
      </c>
    </row>
    <row r="417" spans="1:4">
      <c r="A417" s="1050" t="s">
        <v>521</v>
      </c>
      <c r="B417" s="1051" t="s">
        <v>520</v>
      </c>
      <c r="C417" s="1052">
        <v>43322</v>
      </c>
      <c r="D417" s="1053">
        <v>449.72</v>
      </c>
    </row>
    <row r="418" spans="1:4">
      <c r="A418" s="1050" t="s">
        <v>739</v>
      </c>
      <c r="B418" s="1051" t="s">
        <v>738</v>
      </c>
      <c r="C418" s="1052">
        <v>43322</v>
      </c>
      <c r="D418" s="1053">
        <v>4149.05</v>
      </c>
    </row>
    <row r="419" spans="1:4">
      <c r="A419" s="1050" t="s">
        <v>438</v>
      </c>
      <c r="B419" s="1051" t="s">
        <v>437</v>
      </c>
      <c r="C419" s="1052">
        <v>43322</v>
      </c>
      <c r="D419" s="1053">
        <v>1000</v>
      </c>
    </row>
    <row r="420" spans="1:4">
      <c r="A420" s="1050" t="s">
        <v>517</v>
      </c>
      <c r="B420" s="1051" t="s">
        <v>516</v>
      </c>
      <c r="C420" s="1052">
        <v>43322</v>
      </c>
      <c r="D420" s="1053">
        <v>495</v>
      </c>
    </row>
    <row r="421" spans="1:4">
      <c r="A421" s="1050" t="s">
        <v>583</v>
      </c>
      <c r="B421" s="1051" t="s">
        <v>582</v>
      </c>
      <c r="C421" s="1052">
        <v>43322</v>
      </c>
      <c r="D421" s="1053">
        <v>2000</v>
      </c>
    </row>
    <row r="422" spans="1:4">
      <c r="A422" s="1050" t="s">
        <v>382</v>
      </c>
      <c r="B422" s="1051" t="s">
        <v>381</v>
      </c>
      <c r="C422" s="1052">
        <v>43323</v>
      </c>
      <c r="D422" s="1053">
        <v>2061.91</v>
      </c>
    </row>
    <row r="423" spans="1:4">
      <c r="A423" s="1050" t="s">
        <v>533</v>
      </c>
      <c r="B423" s="1051" t="s">
        <v>532</v>
      </c>
      <c r="C423" s="1052">
        <v>43323</v>
      </c>
      <c r="D423" s="1053">
        <v>1544.52</v>
      </c>
    </row>
    <row r="424" spans="1:4">
      <c r="A424" s="1050" t="s">
        <v>444</v>
      </c>
      <c r="B424" s="1051" t="s">
        <v>443</v>
      </c>
      <c r="C424" s="1052">
        <v>43323</v>
      </c>
      <c r="D424" s="1053">
        <v>2000</v>
      </c>
    </row>
    <row r="425" spans="1:4">
      <c r="A425" s="1050" t="s">
        <v>496</v>
      </c>
      <c r="B425" s="1051" t="s">
        <v>789</v>
      </c>
      <c r="C425" s="1052">
        <v>43323</v>
      </c>
      <c r="D425" s="1053">
        <v>1325.71</v>
      </c>
    </row>
    <row r="426" spans="1:4">
      <c r="A426" s="1050" t="s">
        <v>788</v>
      </c>
      <c r="B426" s="1051" t="s">
        <v>787</v>
      </c>
      <c r="C426" s="1052">
        <v>43324</v>
      </c>
      <c r="D426" s="1053">
        <v>1959.5</v>
      </c>
    </row>
    <row r="427" spans="1:4">
      <c r="A427" s="1050" t="s">
        <v>786</v>
      </c>
      <c r="B427" s="1051" t="s">
        <v>506</v>
      </c>
      <c r="C427" s="1052">
        <v>43324</v>
      </c>
      <c r="D427" s="1053">
        <v>403.62</v>
      </c>
    </row>
    <row r="428" spans="1:4">
      <c r="A428" s="1046" t="s">
        <v>1157</v>
      </c>
      <c r="B428" s="1047" t="s">
        <v>1156</v>
      </c>
      <c r="C428" s="1048">
        <v>43324</v>
      </c>
      <c r="D428" s="1049">
        <v>1000</v>
      </c>
    </row>
    <row r="429" spans="1:4">
      <c r="A429" s="1050" t="s">
        <v>785</v>
      </c>
      <c r="B429" s="1051" t="s">
        <v>784</v>
      </c>
      <c r="C429" s="1052">
        <v>43324</v>
      </c>
      <c r="D429" s="1053">
        <v>2677.56</v>
      </c>
    </row>
    <row r="430" spans="1:4">
      <c r="A430" s="1050" t="s">
        <v>480</v>
      </c>
      <c r="B430" s="1051" t="s">
        <v>479</v>
      </c>
      <c r="C430" s="1052">
        <v>43324</v>
      </c>
      <c r="D430" s="1053">
        <v>2500</v>
      </c>
    </row>
    <row r="431" spans="1:4">
      <c r="A431" s="1050" t="s">
        <v>745</v>
      </c>
      <c r="B431" s="1051" t="s">
        <v>744</v>
      </c>
      <c r="C431" s="1052">
        <v>43325</v>
      </c>
      <c r="D431" s="1053">
        <v>700</v>
      </c>
    </row>
    <row r="432" spans="1:4">
      <c r="A432" s="1050" t="s">
        <v>500</v>
      </c>
      <c r="B432" s="1051" t="s">
        <v>783</v>
      </c>
      <c r="C432" s="1052">
        <v>43325</v>
      </c>
      <c r="D432" s="1053">
        <v>644.11</v>
      </c>
    </row>
    <row r="433" spans="1:4">
      <c r="A433" s="1050" t="s">
        <v>480</v>
      </c>
      <c r="B433" s="1051" t="s">
        <v>479</v>
      </c>
      <c r="C433" s="1052">
        <v>43325</v>
      </c>
      <c r="D433" s="1053">
        <v>1823.45</v>
      </c>
    </row>
    <row r="434" spans="1:4">
      <c r="A434" s="1046" t="s">
        <v>1009</v>
      </c>
      <c r="B434" s="1047" t="s">
        <v>1008</v>
      </c>
      <c r="C434" s="1048">
        <v>43326</v>
      </c>
      <c r="D434" s="1049">
        <v>438</v>
      </c>
    </row>
    <row r="435" spans="1:4">
      <c r="A435" s="1046" t="s">
        <v>749</v>
      </c>
      <c r="B435" s="1047" t="s">
        <v>748</v>
      </c>
      <c r="C435" s="1048">
        <v>43326</v>
      </c>
      <c r="D435" s="1049">
        <v>1000</v>
      </c>
    </row>
    <row r="436" spans="1:4">
      <c r="A436" s="1050" t="s">
        <v>782</v>
      </c>
      <c r="B436" s="1051" t="s">
        <v>781</v>
      </c>
      <c r="C436" s="1052">
        <v>43326</v>
      </c>
      <c r="D436" s="1053">
        <v>1110.9100000000001</v>
      </c>
    </row>
    <row r="437" spans="1:4">
      <c r="A437" s="1050" t="s">
        <v>730</v>
      </c>
      <c r="B437" s="1051" t="s">
        <v>729</v>
      </c>
      <c r="C437" s="1052">
        <v>43326</v>
      </c>
      <c r="D437" s="1053">
        <v>507.78</v>
      </c>
    </row>
    <row r="438" spans="1:4">
      <c r="A438" s="1050" t="s">
        <v>470</v>
      </c>
      <c r="B438" s="1051" t="s">
        <v>469</v>
      </c>
      <c r="C438" s="1052">
        <v>43326</v>
      </c>
      <c r="D438" s="1053">
        <v>686.04</v>
      </c>
    </row>
    <row r="439" spans="1:4">
      <c r="A439" s="1050" t="s">
        <v>838</v>
      </c>
      <c r="B439" s="1051" t="s">
        <v>837</v>
      </c>
      <c r="C439" s="1052">
        <v>43326</v>
      </c>
      <c r="D439" s="1053">
        <v>1799.16</v>
      </c>
    </row>
    <row r="440" spans="1:4">
      <c r="A440" s="1050" t="s">
        <v>780</v>
      </c>
      <c r="B440" s="1051" t="s">
        <v>779</v>
      </c>
      <c r="C440" s="1052">
        <v>43327</v>
      </c>
      <c r="D440" s="1053">
        <v>604.62</v>
      </c>
    </row>
    <row r="441" spans="1:4">
      <c r="A441" s="1050" t="s">
        <v>1116</v>
      </c>
      <c r="B441" s="1051" t="s">
        <v>1115</v>
      </c>
      <c r="C441" s="1052">
        <v>43327</v>
      </c>
      <c r="D441" s="1053">
        <v>1200</v>
      </c>
    </row>
    <row r="442" spans="1:4">
      <c r="A442" s="1050" t="s">
        <v>403</v>
      </c>
      <c r="B442" s="1051" t="s">
        <v>393</v>
      </c>
      <c r="C442" s="1052">
        <v>43327</v>
      </c>
      <c r="D442" s="1053">
        <v>4290.1000000000004</v>
      </c>
    </row>
    <row r="443" spans="1:4">
      <c r="A443" s="1050" t="s">
        <v>701</v>
      </c>
      <c r="B443" s="1051" t="s">
        <v>700</v>
      </c>
      <c r="C443" s="1052">
        <v>43327</v>
      </c>
      <c r="D443" s="1053">
        <v>523.70000000000005</v>
      </c>
    </row>
    <row r="444" spans="1:4">
      <c r="A444" s="1050" t="s">
        <v>778</v>
      </c>
      <c r="B444" s="1051" t="s">
        <v>777</v>
      </c>
      <c r="C444" s="1052">
        <v>43327</v>
      </c>
      <c r="D444" s="1053">
        <v>1401.36</v>
      </c>
    </row>
    <row r="445" spans="1:4">
      <c r="A445" s="1050" t="s">
        <v>502</v>
      </c>
      <c r="B445" s="1051" t="s">
        <v>501</v>
      </c>
      <c r="C445" s="1052">
        <v>43327</v>
      </c>
      <c r="D445" s="1053">
        <v>5000</v>
      </c>
    </row>
    <row r="446" spans="1:4">
      <c r="A446" s="1050" t="s">
        <v>503</v>
      </c>
      <c r="B446" s="1051" t="s">
        <v>501</v>
      </c>
      <c r="C446" s="1052">
        <v>43327</v>
      </c>
      <c r="D446" s="1053">
        <v>3896.68</v>
      </c>
    </row>
    <row r="447" spans="1:4">
      <c r="A447" s="1050" t="s">
        <v>494</v>
      </c>
      <c r="B447" s="1051" t="s">
        <v>776</v>
      </c>
      <c r="C447" s="1052">
        <v>43327</v>
      </c>
      <c r="D447" s="1053">
        <v>238.01</v>
      </c>
    </row>
    <row r="448" spans="1:4">
      <c r="A448" s="1050" t="s">
        <v>775</v>
      </c>
      <c r="B448" s="1051" t="s">
        <v>774</v>
      </c>
      <c r="C448" s="1052">
        <v>43327</v>
      </c>
      <c r="D448" s="1053">
        <v>773.3</v>
      </c>
    </row>
    <row r="449" spans="1:4">
      <c r="A449" s="1050" t="s">
        <v>369</v>
      </c>
      <c r="B449" s="1051" t="s">
        <v>368</v>
      </c>
      <c r="C449" s="1052">
        <v>43327</v>
      </c>
      <c r="D449" s="1053">
        <v>6801.5</v>
      </c>
    </row>
    <row r="450" spans="1:4">
      <c r="A450" s="1046" t="s">
        <v>1188</v>
      </c>
      <c r="B450" s="1047" t="s">
        <v>1187</v>
      </c>
      <c r="C450" s="1048">
        <v>43327</v>
      </c>
      <c r="D450" s="1049">
        <v>1383.9760000000001</v>
      </c>
    </row>
    <row r="451" spans="1:4">
      <c r="A451" s="1050" t="s">
        <v>773</v>
      </c>
      <c r="B451" s="1051" t="s">
        <v>772</v>
      </c>
      <c r="C451" s="1052">
        <v>43327</v>
      </c>
      <c r="D451" s="1053">
        <v>3413.58</v>
      </c>
    </row>
    <row r="452" spans="1:4">
      <c r="A452" s="1050" t="s">
        <v>771</v>
      </c>
      <c r="B452" s="1051" t="s">
        <v>770</v>
      </c>
      <c r="C452" s="1052">
        <v>43327</v>
      </c>
      <c r="D452" s="1053">
        <v>3604.01</v>
      </c>
    </row>
    <row r="453" spans="1:4">
      <c r="A453" s="1050" t="s">
        <v>495</v>
      </c>
      <c r="B453" s="1051" t="s">
        <v>807</v>
      </c>
      <c r="C453" s="1052">
        <v>43327</v>
      </c>
      <c r="D453" s="1053">
        <v>5182.17</v>
      </c>
    </row>
    <row r="454" spans="1:4">
      <c r="A454" s="1050" t="s">
        <v>357</v>
      </c>
      <c r="B454" s="1051" t="s">
        <v>378</v>
      </c>
      <c r="C454" s="1052">
        <v>43327</v>
      </c>
      <c r="D454" s="1053">
        <v>900</v>
      </c>
    </row>
    <row r="455" spans="1:4">
      <c r="A455" s="1050" t="s">
        <v>384</v>
      </c>
      <c r="B455" s="1051" t="s">
        <v>455</v>
      </c>
      <c r="C455" s="1052">
        <v>43327</v>
      </c>
      <c r="D455" s="1053">
        <v>1000</v>
      </c>
    </row>
    <row r="456" spans="1:4">
      <c r="A456" s="1050" t="s">
        <v>769</v>
      </c>
      <c r="B456" s="1051" t="s">
        <v>633</v>
      </c>
      <c r="C456" s="1052">
        <v>43327</v>
      </c>
      <c r="D456" s="1053">
        <v>2544.4699999999998</v>
      </c>
    </row>
    <row r="457" spans="1:4">
      <c r="A457" s="1050" t="s">
        <v>1133</v>
      </c>
      <c r="B457" s="1051" t="s">
        <v>1132</v>
      </c>
      <c r="C457" s="1052">
        <v>43327</v>
      </c>
      <c r="D457" s="1053">
        <v>2499.62</v>
      </c>
    </row>
    <row r="458" spans="1:4">
      <c r="A458" s="1050" t="s">
        <v>450</v>
      </c>
      <c r="B458" s="1051" t="s">
        <v>449</v>
      </c>
      <c r="C458" s="1052">
        <v>43327</v>
      </c>
      <c r="D458" s="1053">
        <v>1725</v>
      </c>
    </row>
    <row r="459" spans="1:4">
      <c r="A459" s="1050" t="s">
        <v>768</v>
      </c>
      <c r="B459" s="1051" t="s">
        <v>767</v>
      </c>
      <c r="C459" s="1052">
        <v>43327</v>
      </c>
      <c r="D459" s="1053">
        <v>506.68</v>
      </c>
    </row>
    <row r="460" spans="1:4">
      <c r="A460" s="1050" t="s">
        <v>766</v>
      </c>
      <c r="B460" s="1051" t="s">
        <v>765</v>
      </c>
      <c r="C460" s="1052">
        <v>43327</v>
      </c>
      <c r="D460" s="1053">
        <v>1335.72</v>
      </c>
    </row>
    <row r="461" spans="1:4">
      <c r="A461" s="1050" t="s">
        <v>545</v>
      </c>
      <c r="B461" s="1051" t="s">
        <v>764</v>
      </c>
      <c r="C461" s="1052">
        <v>43327</v>
      </c>
      <c r="D461" s="1053">
        <v>1540</v>
      </c>
    </row>
    <row r="462" spans="1:4">
      <c r="A462" s="1050" t="s">
        <v>386</v>
      </c>
      <c r="B462" s="1051" t="s">
        <v>594</v>
      </c>
      <c r="C462" s="1052">
        <v>43327</v>
      </c>
      <c r="D462" s="1053">
        <v>1102.81</v>
      </c>
    </row>
    <row r="463" spans="1:4">
      <c r="A463" s="1050" t="s">
        <v>763</v>
      </c>
      <c r="B463" s="1051" t="s">
        <v>762</v>
      </c>
      <c r="C463" s="1052">
        <v>43327</v>
      </c>
      <c r="D463" s="1053">
        <v>1394.81</v>
      </c>
    </row>
    <row r="464" spans="1:4">
      <c r="A464" s="1050" t="s">
        <v>420</v>
      </c>
      <c r="B464" s="1051" t="s">
        <v>478</v>
      </c>
      <c r="C464" s="1052">
        <v>43327</v>
      </c>
      <c r="D464" s="1053">
        <v>1600</v>
      </c>
    </row>
    <row r="465" spans="1:4">
      <c r="A465" s="1050" t="s">
        <v>657</v>
      </c>
      <c r="B465" s="1051" t="s">
        <v>656</v>
      </c>
      <c r="C465" s="1052">
        <v>43327</v>
      </c>
      <c r="D465" s="1053">
        <v>1265.3</v>
      </c>
    </row>
    <row r="466" spans="1:4">
      <c r="A466" s="1050" t="s">
        <v>759</v>
      </c>
      <c r="B466" s="1051" t="s">
        <v>990</v>
      </c>
      <c r="C466" s="1052">
        <v>43327</v>
      </c>
      <c r="D466" s="1053">
        <v>498.59</v>
      </c>
    </row>
    <row r="467" spans="1:4">
      <c r="A467" s="1050" t="s">
        <v>722</v>
      </c>
      <c r="B467" s="1051" t="s">
        <v>721</v>
      </c>
      <c r="C467" s="1052">
        <v>43327</v>
      </c>
      <c r="D467" s="1053">
        <v>2000</v>
      </c>
    </row>
    <row r="468" spans="1:4">
      <c r="A468" s="1050" t="s">
        <v>758</v>
      </c>
      <c r="B468" s="1051" t="s">
        <v>757</v>
      </c>
      <c r="C468" s="1052">
        <v>43327</v>
      </c>
      <c r="D468" s="1053">
        <v>1325.67</v>
      </c>
    </row>
    <row r="469" spans="1:4">
      <c r="A469" s="1050" t="s">
        <v>496</v>
      </c>
      <c r="B469" s="1051" t="s">
        <v>789</v>
      </c>
      <c r="C469" s="1052">
        <v>43327</v>
      </c>
      <c r="D469" s="1053">
        <v>1430.86</v>
      </c>
    </row>
    <row r="470" spans="1:4">
      <c r="A470" s="1050" t="s">
        <v>761</v>
      </c>
      <c r="B470" s="1051" t="s">
        <v>760</v>
      </c>
      <c r="C470" s="1052">
        <v>43327</v>
      </c>
      <c r="D470" s="1053">
        <v>1809.21</v>
      </c>
    </row>
    <row r="471" spans="1:4">
      <c r="A471" s="1050" t="s">
        <v>585</v>
      </c>
      <c r="B471" s="1051" t="s">
        <v>584</v>
      </c>
      <c r="C471" s="1052">
        <v>43327</v>
      </c>
      <c r="D471" s="1053">
        <v>1853</v>
      </c>
    </row>
    <row r="472" spans="1:4">
      <c r="A472" s="1050" t="s">
        <v>517</v>
      </c>
      <c r="B472" s="1051" t="s">
        <v>516</v>
      </c>
      <c r="C472" s="1052">
        <v>43327</v>
      </c>
      <c r="D472" s="1053">
        <v>491.5</v>
      </c>
    </row>
    <row r="473" spans="1:4">
      <c r="A473" s="1050" t="s">
        <v>398</v>
      </c>
      <c r="B473" s="1051" t="s">
        <v>397</v>
      </c>
      <c r="C473" s="1052">
        <v>43328</v>
      </c>
      <c r="D473" s="1053">
        <v>439</v>
      </c>
    </row>
    <row r="474" spans="1:4">
      <c r="A474" s="1050" t="s">
        <v>564</v>
      </c>
      <c r="B474" s="1051" t="s">
        <v>404</v>
      </c>
      <c r="C474" s="1052">
        <v>43328</v>
      </c>
      <c r="D474" s="1053">
        <v>892.38</v>
      </c>
    </row>
    <row r="475" spans="1:4">
      <c r="A475" s="1046" t="s">
        <v>806</v>
      </c>
      <c r="B475" s="1047" t="s">
        <v>1224</v>
      </c>
      <c r="C475" s="1048">
        <v>43328</v>
      </c>
      <c r="D475" s="1049">
        <v>1000</v>
      </c>
    </row>
    <row r="476" spans="1:4">
      <c r="A476" s="1050" t="s">
        <v>713</v>
      </c>
      <c r="B476" s="1051" t="s">
        <v>712</v>
      </c>
      <c r="C476" s="1052">
        <v>43328</v>
      </c>
      <c r="D476" s="1053">
        <v>700</v>
      </c>
    </row>
    <row r="477" spans="1:4">
      <c r="A477" s="1050" t="s">
        <v>726</v>
      </c>
      <c r="B477" s="1051" t="s">
        <v>725</v>
      </c>
      <c r="C477" s="1052">
        <v>43329</v>
      </c>
      <c r="D477" s="1053">
        <v>3983.29</v>
      </c>
    </row>
    <row r="478" spans="1:4">
      <c r="A478" s="1050" t="s">
        <v>566</v>
      </c>
      <c r="B478" s="1051" t="s">
        <v>565</v>
      </c>
      <c r="C478" s="1052">
        <v>43329</v>
      </c>
      <c r="D478" s="1053">
        <v>3000</v>
      </c>
    </row>
    <row r="479" spans="1:4">
      <c r="A479" s="1050" t="s">
        <v>470</v>
      </c>
      <c r="B479" s="1051" t="s">
        <v>469</v>
      </c>
      <c r="C479" s="1052">
        <v>43329</v>
      </c>
      <c r="D479" s="1053">
        <v>686.04</v>
      </c>
    </row>
    <row r="480" spans="1:4">
      <c r="A480" s="1046" t="s">
        <v>1230</v>
      </c>
      <c r="B480" s="1047" t="s">
        <v>1229</v>
      </c>
      <c r="C480" s="1048">
        <v>43330</v>
      </c>
      <c r="D480" s="1049">
        <v>318.27100000000002</v>
      </c>
    </row>
    <row r="481" spans="1:4">
      <c r="A481" s="1050" t="s">
        <v>756</v>
      </c>
      <c r="B481" s="1051" t="s">
        <v>755</v>
      </c>
      <c r="C481" s="1052">
        <v>43330</v>
      </c>
      <c r="D481" s="1053">
        <v>235.74</v>
      </c>
    </row>
    <row r="482" spans="1:4">
      <c r="A482" s="1050" t="s">
        <v>1022</v>
      </c>
      <c r="B482" s="1051" t="s">
        <v>1021</v>
      </c>
      <c r="C482" s="1052">
        <v>43330</v>
      </c>
      <c r="D482" s="1053">
        <v>4410.84</v>
      </c>
    </row>
    <row r="483" spans="1:4">
      <c r="A483" s="1050" t="s">
        <v>444</v>
      </c>
      <c r="B483" s="1051" t="s">
        <v>443</v>
      </c>
      <c r="C483" s="1052">
        <v>43330</v>
      </c>
      <c r="D483" s="1053">
        <v>2000</v>
      </c>
    </row>
    <row r="484" spans="1:4">
      <c r="A484" s="1050" t="s">
        <v>474</v>
      </c>
      <c r="B484" s="1051" t="s">
        <v>473</v>
      </c>
      <c r="C484" s="1052">
        <v>43331</v>
      </c>
      <c r="D484" s="1053">
        <v>950</v>
      </c>
    </row>
    <row r="485" spans="1:4">
      <c r="A485" s="1050" t="s">
        <v>719</v>
      </c>
      <c r="B485" s="1051" t="s">
        <v>718</v>
      </c>
      <c r="C485" s="1052">
        <v>43331</v>
      </c>
      <c r="D485" s="1053">
        <v>250</v>
      </c>
    </row>
    <row r="486" spans="1:4">
      <c r="A486" s="1050" t="s">
        <v>531</v>
      </c>
      <c r="B486" s="1051" t="s">
        <v>530</v>
      </c>
      <c r="C486" s="1052">
        <v>43332</v>
      </c>
      <c r="D486" s="1053">
        <v>362.93</v>
      </c>
    </row>
    <row r="487" spans="1:4">
      <c r="A487" s="1050" t="s">
        <v>388</v>
      </c>
      <c r="B487" s="1051" t="s">
        <v>387</v>
      </c>
      <c r="C487" s="1052">
        <v>43332</v>
      </c>
      <c r="D487" s="1053">
        <v>1115.8599999999999</v>
      </c>
    </row>
    <row r="488" spans="1:4">
      <c r="A488" s="1050" t="s">
        <v>754</v>
      </c>
      <c r="B488" s="1051" t="s">
        <v>753</v>
      </c>
      <c r="C488" s="1052">
        <v>43332</v>
      </c>
      <c r="D488" s="1053">
        <v>571.09</v>
      </c>
    </row>
    <row r="489" spans="1:4">
      <c r="A489" s="1050" t="s">
        <v>733</v>
      </c>
      <c r="B489" s="1051" t="s">
        <v>976</v>
      </c>
      <c r="C489" s="1052">
        <v>43332</v>
      </c>
      <c r="D489" s="1053">
        <v>1174.82</v>
      </c>
    </row>
    <row r="490" spans="1:4">
      <c r="A490" s="1050" t="s">
        <v>481</v>
      </c>
      <c r="B490" s="1051" t="s">
        <v>455</v>
      </c>
      <c r="C490" s="1052">
        <v>43332</v>
      </c>
      <c r="D490" s="1053">
        <v>450</v>
      </c>
    </row>
    <row r="491" spans="1:4">
      <c r="A491" s="1050" t="s">
        <v>752</v>
      </c>
      <c r="B491" s="1051" t="s">
        <v>389</v>
      </c>
      <c r="C491" s="1052">
        <v>43332</v>
      </c>
      <c r="D491" s="1053">
        <v>1371.9</v>
      </c>
    </row>
    <row r="492" spans="1:4">
      <c r="A492" s="1050" t="s">
        <v>735</v>
      </c>
      <c r="B492" s="1051" t="s">
        <v>734</v>
      </c>
      <c r="C492" s="1052">
        <v>43332</v>
      </c>
      <c r="D492" s="1053">
        <v>520.75</v>
      </c>
    </row>
    <row r="493" spans="1:4">
      <c r="A493" s="1050" t="s">
        <v>489</v>
      </c>
      <c r="B493" s="1051" t="s">
        <v>488</v>
      </c>
      <c r="C493" s="1052">
        <v>43332</v>
      </c>
      <c r="D493" s="1053">
        <v>634.80999999999995</v>
      </c>
    </row>
    <row r="494" spans="1:4">
      <c r="A494" s="1050" t="s">
        <v>600</v>
      </c>
      <c r="B494" s="1051" t="s">
        <v>599</v>
      </c>
      <c r="C494" s="1052">
        <v>43332</v>
      </c>
      <c r="D494" s="1053">
        <v>420</v>
      </c>
    </row>
    <row r="495" spans="1:4">
      <c r="A495" s="1050" t="s">
        <v>493</v>
      </c>
      <c r="B495" s="1051" t="s">
        <v>492</v>
      </c>
      <c r="C495" s="1052">
        <v>43332</v>
      </c>
      <c r="D495" s="1053">
        <v>1478.8</v>
      </c>
    </row>
    <row r="496" spans="1:4">
      <c r="A496" s="1046" t="s">
        <v>1025</v>
      </c>
      <c r="B496" s="1047" t="s">
        <v>1024</v>
      </c>
      <c r="C496" s="1048">
        <v>43332</v>
      </c>
      <c r="D496" s="1049">
        <v>300</v>
      </c>
    </row>
    <row r="497" spans="1:4">
      <c r="A497" s="1050" t="s">
        <v>386</v>
      </c>
      <c r="B497" s="1051" t="s">
        <v>594</v>
      </c>
      <c r="C497" s="1052">
        <v>43332</v>
      </c>
      <c r="D497" s="1053">
        <v>1102.81</v>
      </c>
    </row>
    <row r="498" spans="1:4">
      <c r="A498" s="1050" t="s">
        <v>903</v>
      </c>
      <c r="B498" s="1051" t="s">
        <v>902</v>
      </c>
      <c r="C498" s="1052">
        <v>43332</v>
      </c>
      <c r="D498" s="1053">
        <v>200</v>
      </c>
    </row>
    <row r="499" spans="1:4">
      <c r="A499" s="1050" t="s">
        <v>751</v>
      </c>
      <c r="B499" s="1051" t="s">
        <v>750</v>
      </c>
      <c r="C499" s="1052">
        <v>43332</v>
      </c>
      <c r="D499" s="1053">
        <v>706.2</v>
      </c>
    </row>
    <row r="500" spans="1:4">
      <c r="A500" s="1050" t="s">
        <v>749</v>
      </c>
      <c r="B500" s="1051" t="s">
        <v>748</v>
      </c>
      <c r="C500" s="1052">
        <v>43332</v>
      </c>
      <c r="D500" s="1053">
        <v>190</v>
      </c>
    </row>
    <row r="501" spans="1:4">
      <c r="A501" s="1050" t="s">
        <v>749</v>
      </c>
      <c r="B501" s="1051" t="s">
        <v>748</v>
      </c>
      <c r="C501" s="1052">
        <v>43332</v>
      </c>
      <c r="D501" s="1053">
        <v>500</v>
      </c>
    </row>
    <row r="502" spans="1:4">
      <c r="A502" s="1050" t="s">
        <v>396</v>
      </c>
      <c r="B502" s="1051" t="s">
        <v>395</v>
      </c>
      <c r="C502" s="1052">
        <v>43332</v>
      </c>
      <c r="D502" s="1053">
        <v>600</v>
      </c>
    </row>
    <row r="503" spans="1:4">
      <c r="A503" s="1050" t="s">
        <v>747</v>
      </c>
      <c r="B503" s="1051" t="s">
        <v>746</v>
      </c>
      <c r="C503" s="1052">
        <v>43332</v>
      </c>
      <c r="D503" s="1053">
        <v>2159.13</v>
      </c>
    </row>
    <row r="504" spans="1:4">
      <c r="A504" s="1050" t="s">
        <v>420</v>
      </c>
      <c r="B504" s="1051" t="s">
        <v>478</v>
      </c>
      <c r="C504" s="1052">
        <v>43332</v>
      </c>
      <c r="D504" s="1053">
        <v>1600</v>
      </c>
    </row>
    <row r="505" spans="1:4">
      <c r="A505" s="1050" t="s">
        <v>363</v>
      </c>
      <c r="B505" s="1051" t="s">
        <v>362</v>
      </c>
      <c r="C505" s="1052">
        <v>43332</v>
      </c>
      <c r="D505" s="1053">
        <v>2260</v>
      </c>
    </row>
    <row r="506" spans="1:4">
      <c r="A506" s="1050" t="s">
        <v>745</v>
      </c>
      <c r="B506" s="1051" t="s">
        <v>744</v>
      </c>
      <c r="C506" s="1052">
        <v>43332</v>
      </c>
      <c r="D506" s="1053">
        <v>785.86</v>
      </c>
    </row>
    <row r="507" spans="1:4">
      <c r="A507" s="1050" t="s">
        <v>655</v>
      </c>
      <c r="B507" s="1051" t="s">
        <v>654</v>
      </c>
      <c r="C507" s="1052">
        <v>43332</v>
      </c>
      <c r="D507" s="1053">
        <v>750</v>
      </c>
    </row>
    <row r="508" spans="1:4">
      <c r="A508" s="1050" t="s">
        <v>743</v>
      </c>
      <c r="B508" s="1051" t="s">
        <v>742</v>
      </c>
      <c r="C508" s="1052">
        <v>43332</v>
      </c>
      <c r="D508" s="1053">
        <v>2106.66</v>
      </c>
    </row>
    <row r="509" spans="1:4">
      <c r="A509" s="1050" t="s">
        <v>741</v>
      </c>
      <c r="B509" s="1051" t="s">
        <v>740</v>
      </c>
      <c r="C509" s="1052">
        <v>43332</v>
      </c>
      <c r="D509" s="1053">
        <v>2142</v>
      </c>
    </row>
    <row r="510" spans="1:4">
      <c r="A510" s="1050" t="s">
        <v>739</v>
      </c>
      <c r="B510" s="1051" t="s">
        <v>738</v>
      </c>
      <c r="C510" s="1052">
        <v>43332</v>
      </c>
      <c r="D510" s="1053">
        <v>3700</v>
      </c>
    </row>
    <row r="511" spans="1:4">
      <c r="A511" s="1050" t="s">
        <v>438</v>
      </c>
      <c r="B511" s="1051" t="s">
        <v>437</v>
      </c>
      <c r="C511" s="1052">
        <v>43332</v>
      </c>
      <c r="D511" s="1053">
        <v>1000</v>
      </c>
    </row>
    <row r="512" spans="1:4">
      <c r="A512" s="1050" t="s">
        <v>517</v>
      </c>
      <c r="B512" s="1051" t="s">
        <v>516</v>
      </c>
      <c r="C512" s="1052">
        <v>43332</v>
      </c>
      <c r="D512" s="1053">
        <v>492</v>
      </c>
    </row>
    <row r="513" spans="1:4">
      <c r="A513" s="1050" t="s">
        <v>737</v>
      </c>
      <c r="B513" s="1051" t="s">
        <v>736</v>
      </c>
      <c r="C513" s="1052">
        <v>43332</v>
      </c>
      <c r="D513" s="1053">
        <v>3277.24</v>
      </c>
    </row>
    <row r="514" spans="1:4">
      <c r="A514" s="1050" t="s">
        <v>980</v>
      </c>
      <c r="B514" s="1051" t="s">
        <v>979</v>
      </c>
      <c r="C514" s="1052">
        <v>43332</v>
      </c>
      <c r="D514" s="1053">
        <v>2035.27</v>
      </c>
    </row>
    <row r="515" spans="1:4">
      <c r="A515" s="1050" t="s">
        <v>564</v>
      </c>
      <c r="B515" s="1051" t="s">
        <v>404</v>
      </c>
      <c r="C515" s="1052">
        <v>43333</v>
      </c>
      <c r="D515" s="1053">
        <v>892.38</v>
      </c>
    </row>
    <row r="516" spans="1:4">
      <c r="A516" s="1046" t="s">
        <v>1009</v>
      </c>
      <c r="B516" s="1047" t="s">
        <v>1008</v>
      </c>
      <c r="C516" s="1048">
        <v>43333</v>
      </c>
      <c r="D516" s="1049">
        <v>438</v>
      </c>
    </row>
    <row r="517" spans="1:4">
      <c r="A517" s="1050" t="s">
        <v>417</v>
      </c>
      <c r="B517" s="1051" t="s">
        <v>416</v>
      </c>
      <c r="C517" s="1052">
        <v>43333</v>
      </c>
      <c r="D517" s="1053">
        <v>1795.59</v>
      </c>
    </row>
    <row r="518" spans="1:4">
      <c r="A518" s="1050" t="s">
        <v>732</v>
      </c>
      <c r="B518" s="1051" t="s">
        <v>731</v>
      </c>
      <c r="C518" s="1052">
        <v>43333</v>
      </c>
      <c r="D518" s="1053">
        <v>529.61</v>
      </c>
    </row>
    <row r="519" spans="1:4">
      <c r="A519" s="1050" t="s">
        <v>730</v>
      </c>
      <c r="B519" s="1051" t="s">
        <v>729</v>
      </c>
      <c r="C519" s="1052">
        <v>43333</v>
      </c>
      <c r="D519" s="1053">
        <v>507.78</v>
      </c>
    </row>
    <row r="520" spans="1:4">
      <c r="A520" s="1050" t="s">
        <v>470</v>
      </c>
      <c r="B520" s="1051" t="s">
        <v>469</v>
      </c>
      <c r="C520" s="1052">
        <v>43333</v>
      </c>
      <c r="D520" s="1053">
        <v>686.04</v>
      </c>
    </row>
    <row r="521" spans="1:4">
      <c r="A521" s="1050" t="s">
        <v>468</v>
      </c>
      <c r="B521" s="1051" t="s">
        <v>709</v>
      </c>
      <c r="C521" s="1052">
        <v>43333</v>
      </c>
      <c r="D521" s="1053">
        <v>1500</v>
      </c>
    </row>
    <row r="522" spans="1:4">
      <c r="A522" s="1050" t="s">
        <v>480</v>
      </c>
      <c r="B522" s="1051" t="s">
        <v>479</v>
      </c>
      <c r="C522" s="1052">
        <v>43333</v>
      </c>
      <c r="D522" s="1053">
        <v>2000</v>
      </c>
    </row>
    <row r="523" spans="1:4">
      <c r="A523" s="1050" t="s">
        <v>1118</v>
      </c>
      <c r="B523" s="1051" t="s">
        <v>1047</v>
      </c>
      <c r="C523" s="1052">
        <v>43334</v>
      </c>
      <c r="D523" s="1053">
        <v>3303.04</v>
      </c>
    </row>
    <row r="524" spans="1:4">
      <c r="A524" s="1050" t="s">
        <v>400</v>
      </c>
      <c r="B524" s="1051" t="s">
        <v>399</v>
      </c>
      <c r="C524" s="1052">
        <v>43334</v>
      </c>
      <c r="D524" s="1053">
        <v>2000</v>
      </c>
    </row>
    <row r="525" spans="1:4">
      <c r="A525" s="1050" t="s">
        <v>357</v>
      </c>
      <c r="B525" s="1051" t="s">
        <v>378</v>
      </c>
      <c r="C525" s="1052">
        <v>43334</v>
      </c>
      <c r="D525" s="1053">
        <v>900</v>
      </c>
    </row>
    <row r="526" spans="1:4">
      <c r="A526" s="1050" t="s">
        <v>607</v>
      </c>
      <c r="B526" s="1051" t="s">
        <v>366</v>
      </c>
      <c r="C526" s="1052">
        <v>43334</v>
      </c>
      <c r="D526" s="1053">
        <v>7500</v>
      </c>
    </row>
    <row r="527" spans="1:4">
      <c r="A527" s="1050" t="s">
        <v>415</v>
      </c>
      <c r="B527" s="1051" t="s">
        <v>414</v>
      </c>
      <c r="C527" s="1052">
        <v>43334</v>
      </c>
      <c r="D527" s="1053">
        <v>1009.59</v>
      </c>
    </row>
    <row r="528" spans="1:4">
      <c r="A528" s="1050" t="s">
        <v>728</v>
      </c>
      <c r="B528" s="1051" t="s">
        <v>727</v>
      </c>
      <c r="C528" s="1052">
        <v>43335</v>
      </c>
      <c r="D528" s="1053">
        <v>1161.71</v>
      </c>
    </row>
    <row r="529" spans="1:4">
      <c r="A529" s="1050" t="s">
        <v>726</v>
      </c>
      <c r="B529" s="1051" t="s">
        <v>725</v>
      </c>
      <c r="C529" s="1052">
        <v>43335</v>
      </c>
      <c r="D529" s="1053">
        <v>2180.7800000000002</v>
      </c>
    </row>
    <row r="530" spans="1:4">
      <c r="A530" s="1046" t="s">
        <v>1025</v>
      </c>
      <c r="B530" s="1047" t="s">
        <v>1024</v>
      </c>
      <c r="C530" s="1048">
        <v>43335</v>
      </c>
      <c r="D530" s="1049">
        <v>560</v>
      </c>
    </row>
    <row r="531" spans="1:4">
      <c r="A531" s="1050" t="s">
        <v>470</v>
      </c>
      <c r="B531" s="1051" t="s">
        <v>469</v>
      </c>
      <c r="C531" s="1052">
        <v>43335</v>
      </c>
      <c r="D531" s="1053">
        <v>686.04</v>
      </c>
    </row>
    <row r="532" spans="1:4">
      <c r="A532" s="1050" t="s">
        <v>684</v>
      </c>
      <c r="B532" s="1051" t="s">
        <v>457</v>
      </c>
      <c r="C532" s="1052">
        <v>43336</v>
      </c>
      <c r="D532" s="1053">
        <v>765</v>
      </c>
    </row>
    <row r="533" spans="1:4">
      <c r="A533" s="1050" t="s">
        <v>704</v>
      </c>
      <c r="B533" s="1051" t="s">
        <v>464</v>
      </c>
      <c r="C533" s="1052">
        <v>43337</v>
      </c>
      <c r="D533" s="1053">
        <v>1516.76</v>
      </c>
    </row>
    <row r="534" spans="1:4">
      <c r="A534" s="1050" t="s">
        <v>398</v>
      </c>
      <c r="B534" s="1051" t="s">
        <v>397</v>
      </c>
      <c r="C534" s="1052">
        <v>43337</v>
      </c>
      <c r="D534" s="1053">
        <v>439</v>
      </c>
    </row>
    <row r="535" spans="1:4">
      <c r="A535" s="1050" t="s">
        <v>724</v>
      </c>
      <c r="B535" s="1051" t="s">
        <v>723</v>
      </c>
      <c r="C535" s="1052">
        <v>43337</v>
      </c>
      <c r="D535" s="1053">
        <v>1008.39</v>
      </c>
    </row>
    <row r="536" spans="1:4">
      <c r="A536" s="1050" t="s">
        <v>481</v>
      </c>
      <c r="B536" s="1051" t="s">
        <v>455</v>
      </c>
      <c r="C536" s="1052">
        <v>43337</v>
      </c>
      <c r="D536" s="1053">
        <v>800</v>
      </c>
    </row>
    <row r="537" spans="1:4">
      <c r="A537" s="1050" t="s">
        <v>384</v>
      </c>
      <c r="B537" s="1051" t="s">
        <v>455</v>
      </c>
      <c r="C537" s="1052">
        <v>43337</v>
      </c>
      <c r="D537" s="1053">
        <v>950</v>
      </c>
    </row>
    <row r="538" spans="1:4">
      <c r="A538" s="1050" t="s">
        <v>481</v>
      </c>
      <c r="B538" s="1051" t="s">
        <v>455</v>
      </c>
      <c r="C538" s="1052">
        <v>43337</v>
      </c>
      <c r="D538" s="1053">
        <v>988.3</v>
      </c>
    </row>
    <row r="539" spans="1:4">
      <c r="A539" s="1050" t="s">
        <v>384</v>
      </c>
      <c r="B539" s="1051" t="s">
        <v>455</v>
      </c>
      <c r="C539" s="1052">
        <v>43337</v>
      </c>
      <c r="D539" s="1053">
        <v>450</v>
      </c>
    </row>
    <row r="540" spans="1:4">
      <c r="A540" s="1050" t="s">
        <v>384</v>
      </c>
      <c r="B540" s="1051" t="s">
        <v>455</v>
      </c>
      <c r="C540" s="1052">
        <v>43337</v>
      </c>
      <c r="D540" s="1053">
        <v>800.6</v>
      </c>
    </row>
    <row r="541" spans="1:4">
      <c r="A541" s="1050" t="s">
        <v>452</v>
      </c>
      <c r="B541" s="1051" t="s">
        <v>451</v>
      </c>
      <c r="C541" s="1052">
        <v>43337</v>
      </c>
      <c r="D541" s="1053">
        <v>2766.52</v>
      </c>
    </row>
    <row r="542" spans="1:4">
      <c r="A542" s="1050" t="s">
        <v>600</v>
      </c>
      <c r="B542" s="1051" t="s">
        <v>599</v>
      </c>
      <c r="C542" s="1052">
        <v>43337</v>
      </c>
      <c r="D542" s="1053">
        <v>420</v>
      </c>
    </row>
    <row r="543" spans="1:4">
      <c r="A543" s="1050" t="s">
        <v>476</v>
      </c>
      <c r="B543" s="1051" t="s">
        <v>475</v>
      </c>
      <c r="C543" s="1052">
        <v>43337</v>
      </c>
      <c r="D543" s="1053">
        <v>644.99</v>
      </c>
    </row>
    <row r="544" spans="1:4">
      <c r="A544" s="1050" t="s">
        <v>446</v>
      </c>
      <c r="B544" s="1051" t="s">
        <v>445</v>
      </c>
      <c r="C544" s="1052">
        <v>43337</v>
      </c>
      <c r="D544" s="1053">
        <v>195.61</v>
      </c>
    </row>
    <row r="545" spans="1:4">
      <c r="A545" s="1050" t="s">
        <v>493</v>
      </c>
      <c r="B545" s="1051" t="s">
        <v>492</v>
      </c>
      <c r="C545" s="1052">
        <v>43337</v>
      </c>
      <c r="D545" s="1053">
        <v>2063.41</v>
      </c>
    </row>
    <row r="546" spans="1:4">
      <c r="A546" s="1050" t="s">
        <v>419</v>
      </c>
      <c r="B546" s="1051" t="s">
        <v>665</v>
      </c>
      <c r="C546" s="1052">
        <v>43337</v>
      </c>
      <c r="D546" s="1053">
        <v>2024.32</v>
      </c>
    </row>
    <row r="547" spans="1:4">
      <c r="A547" s="1050" t="s">
        <v>396</v>
      </c>
      <c r="B547" s="1051" t="s">
        <v>395</v>
      </c>
      <c r="C547" s="1052">
        <v>43337</v>
      </c>
      <c r="D547" s="1053">
        <v>658.87</v>
      </c>
    </row>
    <row r="548" spans="1:4">
      <c r="A548" s="1050" t="s">
        <v>420</v>
      </c>
      <c r="B548" s="1051" t="s">
        <v>478</v>
      </c>
      <c r="C548" s="1052">
        <v>43337</v>
      </c>
      <c r="D548" s="1053">
        <v>1600</v>
      </c>
    </row>
    <row r="549" spans="1:4">
      <c r="A549" s="1050" t="s">
        <v>363</v>
      </c>
      <c r="B549" s="1051" t="s">
        <v>362</v>
      </c>
      <c r="C549" s="1052">
        <v>43337</v>
      </c>
      <c r="D549" s="1053">
        <v>2260</v>
      </c>
    </row>
    <row r="550" spans="1:4">
      <c r="A550" s="1050" t="s">
        <v>722</v>
      </c>
      <c r="B550" s="1051" t="s">
        <v>721</v>
      </c>
      <c r="C550" s="1052">
        <v>43337</v>
      </c>
      <c r="D550" s="1053">
        <v>2000</v>
      </c>
    </row>
    <row r="551" spans="1:4">
      <c r="A551" s="1050" t="s">
        <v>720</v>
      </c>
      <c r="B551" s="1051" t="s">
        <v>441</v>
      </c>
      <c r="C551" s="1052">
        <v>43337</v>
      </c>
      <c r="D551" s="1053">
        <v>2850</v>
      </c>
    </row>
    <row r="552" spans="1:4">
      <c r="A552" s="1050" t="s">
        <v>517</v>
      </c>
      <c r="B552" s="1051" t="s">
        <v>516</v>
      </c>
      <c r="C552" s="1052">
        <v>43337</v>
      </c>
      <c r="D552" s="1053">
        <v>549.29999999999995</v>
      </c>
    </row>
    <row r="553" spans="1:4">
      <c r="A553" s="1050" t="s">
        <v>564</v>
      </c>
      <c r="B553" s="1051" t="s">
        <v>404</v>
      </c>
      <c r="C553" s="1052">
        <v>43338</v>
      </c>
      <c r="D553" s="1053">
        <v>892.38</v>
      </c>
    </row>
    <row r="554" spans="1:4">
      <c r="A554" s="1050" t="s">
        <v>684</v>
      </c>
      <c r="B554" s="1051" t="s">
        <v>457</v>
      </c>
      <c r="C554" s="1052">
        <v>43338</v>
      </c>
      <c r="D554" s="1053">
        <v>765</v>
      </c>
    </row>
    <row r="555" spans="1:4">
      <c r="A555" s="1050" t="s">
        <v>684</v>
      </c>
      <c r="B555" s="1051" t="s">
        <v>457</v>
      </c>
      <c r="C555" s="1052">
        <v>43338</v>
      </c>
      <c r="D555" s="1053">
        <v>765</v>
      </c>
    </row>
    <row r="556" spans="1:4">
      <c r="A556" s="1050" t="s">
        <v>472</v>
      </c>
      <c r="B556" s="1051" t="s">
        <v>471</v>
      </c>
      <c r="C556" s="1052">
        <v>43338</v>
      </c>
      <c r="D556" s="1053">
        <v>6080.14</v>
      </c>
    </row>
    <row r="557" spans="1:4">
      <c r="A557" s="1050" t="s">
        <v>684</v>
      </c>
      <c r="B557" s="1051" t="s">
        <v>457</v>
      </c>
      <c r="C557" s="1052">
        <v>43339</v>
      </c>
      <c r="D557" s="1053">
        <v>765</v>
      </c>
    </row>
    <row r="558" spans="1:4">
      <c r="A558" s="1050" t="s">
        <v>540</v>
      </c>
      <c r="B558" s="1051" t="s">
        <v>539</v>
      </c>
      <c r="C558" s="1052">
        <v>43339</v>
      </c>
      <c r="D558" s="1053">
        <v>600</v>
      </c>
    </row>
    <row r="559" spans="1:4">
      <c r="A559" s="1050" t="s">
        <v>719</v>
      </c>
      <c r="B559" s="1051" t="s">
        <v>718</v>
      </c>
      <c r="C559" s="1052">
        <v>43339</v>
      </c>
      <c r="D559" s="1053">
        <v>273.37</v>
      </c>
    </row>
    <row r="560" spans="1:4">
      <c r="A560" s="1050" t="s">
        <v>359</v>
      </c>
      <c r="B560" s="1051" t="s">
        <v>358</v>
      </c>
      <c r="C560" s="1052">
        <v>43339</v>
      </c>
      <c r="D560" s="1053">
        <v>9792.9599999999991</v>
      </c>
    </row>
    <row r="561" spans="1:4">
      <c r="A561" s="1050" t="s">
        <v>480</v>
      </c>
      <c r="B561" s="1051" t="s">
        <v>479</v>
      </c>
      <c r="C561" s="1052">
        <v>43339</v>
      </c>
      <c r="D561" s="1053">
        <v>2000</v>
      </c>
    </row>
    <row r="562" spans="1:4">
      <c r="A562" s="1050" t="s">
        <v>1010</v>
      </c>
      <c r="B562" s="1051" t="s">
        <v>873</v>
      </c>
      <c r="C562" s="1052">
        <v>43340</v>
      </c>
      <c r="D562" s="1053">
        <v>1050.5</v>
      </c>
    </row>
    <row r="563" spans="1:4">
      <c r="A563" s="1050" t="s">
        <v>373</v>
      </c>
      <c r="B563" s="1051" t="s">
        <v>372</v>
      </c>
      <c r="C563" s="1052">
        <v>43340</v>
      </c>
      <c r="D563" s="1053">
        <v>2722.24</v>
      </c>
    </row>
    <row r="564" spans="1:4">
      <c r="A564" s="1050" t="s">
        <v>717</v>
      </c>
      <c r="B564" s="1051" t="s">
        <v>716</v>
      </c>
      <c r="C564" s="1052">
        <v>43340</v>
      </c>
      <c r="D564" s="1053">
        <v>1573.78</v>
      </c>
    </row>
    <row r="565" spans="1:4">
      <c r="A565" s="1050" t="s">
        <v>684</v>
      </c>
      <c r="B565" s="1051" t="s">
        <v>457</v>
      </c>
      <c r="C565" s="1052">
        <v>43340</v>
      </c>
      <c r="D565" s="1053">
        <v>765</v>
      </c>
    </row>
    <row r="566" spans="1:4">
      <c r="A566" s="1050" t="s">
        <v>682</v>
      </c>
      <c r="B566" s="1051" t="s">
        <v>681</v>
      </c>
      <c r="C566" s="1052">
        <v>43340</v>
      </c>
      <c r="D566" s="1053">
        <v>1618.84</v>
      </c>
    </row>
    <row r="567" spans="1:4">
      <c r="A567" s="1046" t="s">
        <v>806</v>
      </c>
      <c r="B567" s="1047" t="s">
        <v>1224</v>
      </c>
      <c r="C567" s="1048">
        <v>43340</v>
      </c>
      <c r="D567" s="1049">
        <v>1000</v>
      </c>
    </row>
    <row r="568" spans="1:4">
      <c r="A568" s="1050" t="s">
        <v>538</v>
      </c>
      <c r="B568" s="1051" t="s">
        <v>537</v>
      </c>
      <c r="C568" s="1052">
        <v>43340</v>
      </c>
      <c r="D568" s="1053">
        <v>2140</v>
      </c>
    </row>
    <row r="569" spans="1:4">
      <c r="A569" s="1050" t="s">
        <v>546</v>
      </c>
      <c r="B569" s="1051" t="s">
        <v>795</v>
      </c>
      <c r="C569" s="1052">
        <v>43340</v>
      </c>
      <c r="D569" s="1053">
        <v>736.39</v>
      </c>
    </row>
    <row r="570" spans="1:4">
      <c r="A570" s="1050" t="s">
        <v>514</v>
      </c>
      <c r="B570" s="1051" t="s">
        <v>513</v>
      </c>
      <c r="C570" s="1052">
        <v>43341</v>
      </c>
      <c r="D570" s="1053">
        <v>1000</v>
      </c>
    </row>
    <row r="571" spans="1:4">
      <c r="A571" s="1046" t="s">
        <v>1162</v>
      </c>
      <c r="B571" s="1047" t="s">
        <v>1161</v>
      </c>
      <c r="C571" s="1048">
        <v>43341</v>
      </c>
      <c r="D571" s="1049">
        <v>402.29599999999999</v>
      </c>
    </row>
    <row r="572" spans="1:4">
      <c r="A572" s="1050" t="s">
        <v>715</v>
      </c>
      <c r="B572" s="1051" t="s">
        <v>714</v>
      </c>
      <c r="C572" s="1052">
        <v>43341</v>
      </c>
      <c r="D572" s="1053">
        <v>1639.9</v>
      </c>
    </row>
    <row r="573" spans="1:4">
      <c r="A573" s="1050" t="s">
        <v>713</v>
      </c>
      <c r="B573" s="1051" t="s">
        <v>712</v>
      </c>
      <c r="C573" s="1052">
        <v>43341</v>
      </c>
      <c r="D573" s="1053">
        <v>690.62</v>
      </c>
    </row>
    <row r="574" spans="1:4">
      <c r="A574" s="1050" t="s">
        <v>711</v>
      </c>
      <c r="B574" s="1051" t="s">
        <v>710</v>
      </c>
      <c r="C574" s="1052">
        <v>43341</v>
      </c>
      <c r="D574" s="1053">
        <v>658.68</v>
      </c>
    </row>
    <row r="575" spans="1:4">
      <c r="A575" s="1050" t="s">
        <v>956</v>
      </c>
      <c r="B575" s="1051" t="s">
        <v>955</v>
      </c>
      <c r="C575" s="1052">
        <v>43341</v>
      </c>
      <c r="D575" s="1053">
        <v>407.65</v>
      </c>
    </row>
    <row r="576" spans="1:4">
      <c r="A576" s="1050" t="s">
        <v>468</v>
      </c>
      <c r="B576" s="1051" t="s">
        <v>709</v>
      </c>
      <c r="C576" s="1052">
        <v>43341</v>
      </c>
      <c r="D576" s="1053">
        <v>1431.77</v>
      </c>
    </row>
    <row r="577" spans="1:4">
      <c r="A577" s="1046" t="s">
        <v>1017</v>
      </c>
      <c r="B577" s="1047" t="s">
        <v>1016</v>
      </c>
      <c r="C577" s="1048">
        <v>43341</v>
      </c>
      <c r="D577" s="1049">
        <v>1144.6510000000001</v>
      </c>
    </row>
    <row r="578" spans="1:4">
      <c r="A578" s="1050" t="s">
        <v>1030</v>
      </c>
      <c r="B578" s="1051" t="s">
        <v>939</v>
      </c>
      <c r="C578" s="1052">
        <v>43342</v>
      </c>
      <c r="D578" s="1053">
        <v>430.58</v>
      </c>
    </row>
    <row r="579" spans="1:4">
      <c r="A579" s="1050" t="s">
        <v>708</v>
      </c>
      <c r="B579" s="1051" t="s">
        <v>707</v>
      </c>
      <c r="C579" s="1052">
        <v>43342</v>
      </c>
      <c r="D579" s="1053">
        <v>564.5</v>
      </c>
    </row>
    <row r="580" spans="1:4">
      <c r="A580" s="1050" t="s">
        <v>708</v>
      </c>
      <c r="B580" s="1051" t="s">
        <v>707</v>
      </c>
      <c r="C580" s="1052">
        <v>43342</v>
      </c>
      <c r="D580" s="1053">
        <v>162.78</v>
      </c>
    </row>
    <row r="581" spans="1:4">
      <c r="A581" s="1050" t="s">
        <v>706</v>
      </c>
      <c r="B581" s="1051" t="s">
        <v>705</v>
      </c>
      <c r="C581" s="1052">
        <v>43342</v>
      </c>
      <c r="D581" s="1053">
        <v>910.77</v>
      </c>
    </row>
    <row r="582" spans="1:4">
      <c r="A582" s="1050" t="s">
        <v>1118</v>
      </c>
      <c r="B582" s="1051" t="s">
        <v>1047</v>
      </c>
      <c r="C582" s="1052">
        <v>43342</v>
      </c>
      <c r="D582" s="1053">
        <v>3303.04</v>
      </c>
    </row>
    <row r="583" spans="1:4">
      <c r="A583" s="1046" t="s">
        <v>1221</v>
      </c>
      <c r="B583" s="1047" t="s">
        <v>1220</v>
      </c>
      <c r="C583" s="1048">
        <v>43342</v>
      </c>
      <c r="D583" s="1049">
        <v>293.47199999999998</v>
      </c>
    </row>
    <row r="584" spans="1:4">
      <c r="A584" s="1050" t="s">
        <v>704</v>
      </c>
      <c r="B584" s="1051" t="s">
        <v>464</v>
      </c>
      <c r="C584" s="1052">
        <v>43342</v>
      </c>
      <c r="D584" s="1053">
        <v>1516.76</v>
      </c>
    </row>
    <row r="585" spans="1:4">
      <c r="A585" s="1050" t="s">
        <v>703</v>
      </c>
      <c r="B585" s="1051" t="s">
        <v>702</v>
      </c>
      <c r="C585" s="1052">
        <v>43342</v>
      </c>
      <c r="D585" s="1053">
        <v>1086.8800000000001</v>
      </c>
    </row>
    <row r="586" spans="1:4">
      <c r="A586" s="1050" t="s">
        <v>701</v>
      </c>
      <c r="B586" s="1051" t="s">
        <v>700</v>
      </c>
      <c r="C586" s="1052">
        <v>43342</v>
      </c>
      <c r="D586" s="1053">
        <v>500</v>
      </c>
    </row>
    <row r="587" spans="1:4">
      <c r="A587" s="1046" t="s">
        <v>1204</v>
      </c>
      <c r="B587" s="1047" t="s">
        <v>700</v>
      </c>
      <c r="C587" s="1048">
        <v>43342</v>
      </c>
      <c r="D587" s="1049">
        <v>500</v>
      </c>
    </row>
    <row r="588" spans="1:4">
      <c r="A588" s="1050" t="s">
        <v>402</v>
      </c>
      <c r="B588" s="1051" t="s">
        <v>401</v>
      </c>
      <c r="C588" s="1052">
        <v>43342</v>
      </c>
      <c r="D588" s="1053">
        <v>1250</v>
      </c>
    </row>
    <row r="589" spans="1:4">
      <c r="A589" s="1050" t="s">
        <v>699</v>
      </c>
      <c r="B589" s="1051" t="s">
        <v>698</v>
      </c>
      <c r="C589" s="1052">
        <v>43342</v>
      </c>
      <c r="D589" s="1053">
        <v>2054.15</v>
      </c>
    </row>
    <row r="590" spans="1:4">
      <c r="A590" s="1050" t="s">
        <v>502</v>
      </c>
      <c r="B590" s="1051" t="s">
        <v>501</v>
      </c>
      <c r="C590" s="1052">
        <v>43342</v>
      </c>
      <c r="D590" s="1053">
        <v>5000</v>
      </c>
    </row>
    <row r="591" spans="1:4">
      <c r="A591" s="1050" t="s">
        <v>503</v>
      </c>
      <c r="B591" s="1051" t="s">
        <v>501</v>
      </c>
      <c r="C591" s="1052">
        <v>43342</v>
      </c>
      <c r="D591" s="1053">
        <v>3500</v>
      </c>
    </row>
    <row r="592" spans="1:4">
      <c r="A592" s="1050" t="s">
        <v>373</v>
      </c>
      <c r="B592" s="1051" t="s">
        <v>372</v>
      </c>
      <c r="C592" s="1052">
        <v>43342</v>
      </c>
      <c r="D592" s="1053">
        <v>3000</v>
      </c>
    </row>
    <row r="593" spans="1:4">
      <c r="A593" s="1050" t="s">
        <v>697</v>
      </c>
      <c r="B593" s="1051" t="s">
        <v>696</v>
      </c>
      <c r="C593" s="1052">
        <v>43342</v>
      </c>
      <c r="D593" s="1053">
        <v>1400.82</v>
      </c>
    </row>
    <row r="594" spans="1:4">
      <c r="A594" s="1050" t="s">
        <v>695</v>
      </c>
      <c r="B594" s="1051" t="s">
        <v>694</v>
      </c>
      <c r="C594" s="1052">
        <v>43342</v>
      </c>
      <c r="D594" s="1053">
        <v>8033.36</v>
      </c>
    </row>
    <row r="595" spans="1:4">
      <c r="A595" s="1046" t="s">
        <v>1228</v>
      </c>
      <c r="B595" s="1047" t="s">
        <v>1227</v>
      </c>
      <c r="C595" s="1048">
        <v>43342</v>
      </c>
      <c r="D595" s="1049">
        <v>1519.992</v>
      </c>
    </row>
    <row r="596" spans="1:4">
      <c r="A596" s="1050" t="s">
        <v>388</v>
      </c>
      <c r="B596" s="1051" t="s">
        <v>387</v>
      </c>
      <c r="C596" s="1052">
        <v>43342</v>
      </c>
      <c r="D596" s="1053">
        <v>1115.8599999999999</v>
      </c>
    </row>
    <row r="597" spans="1:4">
      <c r="A597" s="1050" t="s">
        <v>693</v>
      </c>
      <c r="B597" s="1051" t="s">
        <v>692</v>
      </c>
      <c r="C597" s="1052">
        <v>43342</v>
      </c>
      <c r="D597" s="1053">
        <v>1967.9</v>
      </c>
    </row>
    <row r="598" spans="1:4">
      <c r="A598" s="1050" t="s">
        <v>433</v>
      </c>
      <c r="B598" s="1051" t="s">
        <v>691</v>
      </c>
      <c r="C598" s="1052">
        <v>43342</v>
      </c>
      <c r="D598" s="1053">
        <v>3409.62</v>
      </c>
    </row>
    <row r="599" spans="1:4">
      <c r="A599" s="1050" t="s">
        <v>690</v>
      </c>
      <c r="B599" s="1051" t="s">
        <v>689</v>
      </c>
      <c r="C599" s="1052">
        <v>43342</v>
      </c>
      <c r="D599" s="1053">
        <v>489.43</v>
      </c>
    </row>
    <row r="600" spans="1:4">
      <c r="A600" s="1050" t="s">
        <v>688</v>
      </c>
      <c r="B600" s="1051" t="s">
        <v>687</v>
      </c>
      <c r="C600" s="1052">
        <v>43342</v>
      </c>
      <c r="D600" s="1053">
        <v>798.17</v>
      </c>
    </row>
    <row r="601" spans="1:4">
      <c r="A601" s="1050" t="s">
        <v>686</v>
      </c>
      <c r="B601" s="1051" t="s">
        <v>685</v>
      </c>
      <c r="C601" s="1052">
        <v>43342</v>
      </c>
      <c r="D601" s="1053">
        <v>3602.36</v>
      </c>
    </row>
    <row r="602" spans="1:4">
      <c r="A602" s="1050" t="s">
        <v>684</v>
      </c>
      <c r="B602" s="1051" t="s">
        <v>457</v>
      </c>
      <c r="C602" s="1052">
        <v>43342</v>
      </c>
      <c r="D602" s="1053">
        <v>762.98</v>
      </c>
    </row>
    <row r="603" spans="1:4">
      <c r="A603" s="1046" t="s">
        <v>832</v>
      </c>
      <c r="B603" s="1047" t="s">
        <v>831</v>
      </c>
      <c r="C603" s="1048">
        <v>43342</v>
      </c>
      <c r="D603" s="1049">
        <v>391.18799999999999</v>
      </c>
    </row>
    <row r="604" spans="1:4">
      <c r="A604" s="1050" t="s">
        <v>432</v>
      </c>
      <c r="B604" s="1051" t="s">
        <v>683</v>
      </c>
      <c r="C604" s="1052">
        <v>43342</v>
      </c>
      <c r="D604" s="1053">
        <v>1000.26</v>
      </c>
    </row>
    <row r="605" spans="1:4">
      <c r="A605" s="1050" t="s">
        <v>682</v>
      </c>
      <c r="B605" s="1051" t="s">
        <v>681</v>
      </c>
      <c r="C605" s="1052">
        <v>43342</v>
      </c>
      <c r="D605" s="1053">
        <v>14050.88</v>
      </c>
    </row>
    <row r="606" spans="1:4">
      <c r="A606" s="1050" t="s">
        <v>680</v>
      </c>
      <c r="B606" s="1051" t="s">
        <v>679</v>
      </c>
      <c r="C606" s="1052">
        <v>43342</v>
      </c>
      <c r="D606" s="1053">
        <v>3490.28</v>
      </c>
    </row>
    <row r="607" spans="1:4">
      <c r="A607" s="1050" t="s">
        <v>636</v>
      </c>
      <c r="B607" s="1051" t="s">
        <v>635</v>
      </c>
      <c r="C607" s="1052">
        <v>43342</v>
      </c>
      <c r="D607" s="1053">
        <v>506.36</v>
      </c>
    </row>
    <row r="608" spans="1:4">
      <c r="A608" s="1050" t="s">
        <v>678</v>
      </c>
      <c r="B608" s="1051" t="s">
        <v>677</v>
      </c>
      <c r="C608" s="1052">
        <v>43342</v>
      </c>
      <c r="D608" s="1053">
        <v>260.67</v>
      </c>
    </row>
    <row r="609" spans="1:4">
      <c r="A609" s="1050" t="s">
        <v>384</v>
      </c>
      <c r="B609" s="1051" t="s">
        <v>455</v>
      </c>
      <c r="C609" s="1052">
        <v>43342</v>
      </c>
      <c r="D609" s="1053">
        <v>614.79999999999995</v>
      </c>
    </row>
    <row r="610" spans="1:4">
      <c r="A610" s="1050" t="s">
        <v>384</v>
      </c>
      <c r="B610" s="1051" t="s">
        <v>455</v>
      </c>
      <c r="C610" s="1052">
        <v>43342</v>
      </c>
      <c r="D610" s="1053">
        <v>600</v>
      </c>
    </row>
    <row r="611" spans="1:4">
      <c r="A611" s="1050" t="s">
        <v>676</v>
      </c>
      <c r="B611" s="1051" t="s">
        <v>675</v>
      </c>
      <c r="C611" s="1052">
        <v>43342</v>
      </c>
      <c r="D611" s="1053">
        <v>1023.68</v>
      </c>
    </row>
    <row r="612" spans="1:4">
      <c r="A612" s="1050" t="s">
        <v>634</v>
      </c>
      <c r="B612" s="1051" t="s">
        <v>633</v>
      </c>
      <c r="C612" s="1052">
        <v>43342</v>
      </c>
      <c r="D612" s="1053">
        <v>2254.81</v>
      </c>
    </row>
    <row r="613" spans="1:4">
      <c r="A613" s="1050" t="s">
        <v>674</v>
      </c>
      <c r="B613" s="1051" t="s">
        <v>430</v>
      </c>
      <c r="C613" s="1052">
        <v>43342</v>
      </c>
      <c r="D613" s="1053">
        <v>1644.23</v>
      </c>
    </row>
    <row r="614" spans="1:4">
      <c r="A614" s="1050" t="s">
        <v>638</v>
      </c>
      <c r="B614" s="1051" t="s">
        <v>637</v>
      </c>
      <c r="C614" s="1052">
        <v>43342</v>
      </c>
      <c r="D614" s="1053">
        <v>3822.26</v>
      </c>
    </row>
    <row r="615" spans="1:4">
      <c r="A615" s="1046" t="s">
        <v>1207</v>
      </c>
      <c r="B615" s="1047" t="s">
        <v>908</v>
      </c>
      <c r="C615" s="1048">
        <v>43342</v>
      </c>
      <c r="D615" s="1049">
        <v>716.77200000000005</v>
      </c>
    </row>
    <row r="616" spans="1:4">
      <c r="A616" s="1046" t="s">
        <v>1195</v>
      </c>
      <c r="B616" s="1047" t="s">
        <v>1194</v>
      </c>
      <c r="C616" s="1048">
        <v>43342</v>
      </c>
      <c r="D616" s="1049">
        <v>717.33699999999999</v>
      </c>
    </row>
    <row r="617" spans="1:4">
      <c r="A617" s="1046" t="s">
        <v>1195</v>
      </c>
      <c r="B617" s="1047" t="s">
        <v>1194</v>
      </c>
      <c r="C617" s="1048">
        <v>43342</v>
      </c>
      <c r="D617" s="1049">
        <v>717.33699999999999</v>
      </c>
    </row>
    <row r="618" spans="1:4">
      <c r="A618" s="1050" t="s">
        <v>673</v>
      </c>
      <c r="B618" s="1051" t="s">
        <v>672</v>
      </c>
      <c r="C618" s="1052">
        <v>43342</v>
      </c>
      <c r="D618" s="1053">
        <v>115.91</v>
      </c>
    </row>
    <row r="619" spans="1:4">
      <c r="A619" s="1050" t="s">
        <v>768</v>
      </c>
      <c r="B619" s="1051" t="s">
        <v>767</v>
      </c>
      <c r="C619" s="1052">
        <v>43342</v>
      </c>
      <c r="D619" s="1053">
        <v>364.89</v>
      </c>
    </row>
    <row r="620" spans="1:4">
      <c r="A620" s="1050" t="s">
        <v>552</v>
      </c>
      <c r="B620" s="1051" t="s">
        <v>551</v>
      </c>
      <c r="C620" s="1052">
        <v>43342</v>
      </c>
      <c r="D620" s="1053">
        <v>790</v>
      </c>
    </row>
    <row r="621" spans="1:4">
      <c r="A621" s="1050" t="s">
        <v>671</v>
      </c>
      <c r="B621" s="1051" t="s">
        <v>670</v>
      </c>
      <c r="C621" s="1052">
        <v>43342</v>
      </c>
      <c r="D621" s="1053">
        <v>829.26</v>
      </c>
    </row>
    <row r="622" spans="1:4">
      <c r="A622" s="1050" t="s">
        <v>669</v>
      </c>
      <c r="B622" s="1051" t="s">
        <v>668</v>
      </c>
      <c r="C622" s="1052">
        <v>43342</v>
      </c>
      <c r="D622" s="1053">
        <v>403.06</v>
      </c>
    </row>
    <row r="623" spans="1:4">
      <c r="A623" s="1050" t="s">
        <v>627</v>
      </c>
      <c r="B623" s="1051" t="s">
        <v>626</v>
      </c>
      <c r="C623" s="1052">
        <v>43342</v>
      </c>
      <c r="D623" s="1053">
        <v>1886.21</v>
      </c>
    </row>
    <row r="624" spans="1:4">
      <c r="A624" s="1050" t="s">
        <v>667</v>
      </c>
      <c r="B624" s="1051" t="s">
        <v>666</v>
      </c>
      <c r="C624" s="1052">
        <v>43342</v>
      </c>
      <c r="D624" s="1053">
        <v>544.84</v>
      </c>
    </row>
    <row r="625" spans="1:4">
      <c r="A625" s="1046" t="s">
        <v>749</v>
      </c>
      <c r="B625" s="1047" t="s">
        <v>748</v>
      </c>
      <c r="C625" s="1048">
        <v>43342</v>
      </c>
      <c r="D625" s="1049">
        <v>1000</v>
      </c>
    </row>
    <row r="626" spans="1:4">
      <c r="A626" s="1050" t="s">
        <v>419</v>
      </c>
      <c r="B626" s="1051" t="s">
        <v>665</v>
      </c>
      <c r="C626" s="1052">
        <v>43342</v>
      </c>
      <c r="D626" s="1053">
        <v>2024</v>
      </c>
    </row>
    <row r="627" spans="1:4">
      <c r="A627" s="1046" t="s">
        <v>1155</v>
      </c>
      <c r="B627" s="1047" t="s">
        <v>1154</v>
      </c>
      <c r="C627" s="1048">
        <v>43342</v>
      </c>
      <c r="D627" s="1049">
        <v>1051.7750000000001</v>
      </c>
    </row>
    <row r="628" spans="1:4">
      <c r="A628" s="1050" t="s">
        <v>418</v>
      </c>
      <c r="B628" s="1051" t="s">
        <v>664</v>
      </c>
      <c r="C628" s="1052">
        <v>43342</v>
      </c>
      <c r="D628" s="1053">
        <v>1599.29</v>
      </c>
    </row>
    <row r="629" spans="1:4">
      <c r="A629" s="1050" t="s">
        <v>625</v>
      </c>
      <c r="B629" s="1051" t="s">
        <v>624</v>
      </c>
      <c r="C629" s="1052">
        <v>43342</v>
      </c>
      <c r="D629" s="1053">
        <v>1200.25</v>
      </c>
    </row>
    <row r="630" spans="1:4">
      <c r="A630" s="1050" t="s">
        <v>663</v>
      </c>
      <c r="B630" s="1051" t="s">
        <v>662</v>
      </c>
      <c r="C630" s="1052">
        <v>43342</v>
      </c>
      <c r="D630" s="1053">
        <v>1206.4000000000001</v>
      </c>
    </row>
    <row r="631" spans="1:4">
      <c r="A631" s="1050" t="s">
        <v>487</v>
      </c>
      <c r="B631" s="1051" t="s">
        <v>486</v>
      </c>
      <c r="C631" s="1052">
        <v>43342</v>
      </c>
      <c r="D631" s="1053">
        <v>3000</v>
      </c>
    </row>
    <row r="632" spans="1:4">
      <c r="A632" s="1046" t="s">
        <v>487</v>
      </c>
      <c r="B632" s="1047" t="s">
        <v>486</v>
      </c>
      <c r="C632" s="1048">
        <v>43342</v>
      </c>
      <c r="D632" s="1049">
        <v>537.90300000000002</v>
      </c>
    </row>
    <row r="633" spans="1:4">
      <c r="A633" s="1050" t="s">
        <v>632</v>
      </c>
      <c r="B633" s="1051" t="s">
        <v>631</v>
      </c>
      <c r="C633" s="1052">
        <v>43342</v>
      </c>
      <c r="D633" s="1053">
        <v>12780.54</v>
      </c>
    </row>
    <row r="634" spans="1:4">
      <c r="A634" s="1050" t="s">
        <v>661</v>
      </c>
      <c r="B634" s="1051" t="s">
        <v>660</v>
      </c>
      <c r="C634" s="1052">
        <v>43342</v>
      </c>
      <c r="D634" s="1053">
        <v>1072.31</v>
      </c>
    </row>
    <row r="635" spans="1:4">
      <c r="A635" s="1050" t="s">
        <v>420</v>
      </c>
      <c r="B635" s="1051" t="s">
        <v>478</v>
      </c>
      <c r="C635" s="1052">
        <v>43342</v>
      </c>
      <c r="D635" s="1053">
        <v>1595.67</v>
      </c>
    </row>
    <row r="636" spans="1:4">
      <c r="A636" s="1050" t="s">
        <v>628</v>
      </c>
      <c r="B636" s="1051" t="s">
        <v>898</v>
      </c>
      <c r="C636" s="1052">
        <v>43342</v>
      </c>
      <c r="D636" s="1053">
        <v>1921.07</v>
      </c>
    </row>
    <row r="637" spans="1:4">
      <c r="A637" s="1046" t="s">
        <v>711</v>
      </c>
      <c r="B637" s="1047" t="s">
        <v>1152</v>
      </c>
      <c r="C637" s="1048">
        <v>43342</v>
      </c>
      <c r="D637" s="1049">
        <v>576.55999999999995</v>
      </c>
    </row>
    <row r="638" spans="1:4">
      <c r="A638" s="1050" t="s">
        <v>659</v>
      </c>
      <c r="B638" s="1051" t="s">
        <v>658</v>
      </c>
      <c r="C638" s="1052">
        <v>43342</v>
      </c>
      <c r="D638" s="1053">
        <v>815.13</v>
      </c>
    </row>
    <row r="639" spans="1:4">
      <c r="A639" s="1050" t="s">
        <v>363</v>
      </c>
      <c r="B639" s="1051" t="s">
        <v>362</v>
      </c>
      <c r="C639" s="1052">
        <v>43342</v>
      </c>
      <c r="D639" s="1053">
        <v>2285.17</v>
      </c>
    </row>
    <row r="640" spans="1:4">
      <c r="A640" s="1050" t="s">
        <v>630</v>
      </c>
      <c r="B640" s="1051" t="s">
        <v>629</v>
      </c>
      <c r="C640" s="1052">
        <v>43342</v>
      </c>
      <c r="D640" s="1053">
        <v>797.42</v>
      </c>
    </row>
    <row r="641" spans="1:4">
      <c r="A641" s="1050" t="s">
        <v>657</v>
      </c>
      <c r="B641" s="1051" t="s">
        <v>656</v>
      </c>
      <c r="C641" s="1052">
        <v>43342</v>
      </c>
      <c r="D641" s="1053">
        <v>1520</v>
      </c>
    </row>
    <row r="642" spans="1:4">
      <c r="A642" s="1050" t="s">
        <v>655</v>
      </c>
      <c r="B642" s="1051" t="s">
        <v>654</v>
      </c>
      <c r="C642" s="1052">
        <v>43342</v>
      </c>
      <c r="D642" s="1053">
        <v>859.95</v>
      </c>
    </row>
    <row r="643" spans="1:4">
      <c r="A643" s="1050" t="s">
        <v>653</v>
      </c>
      <c r="B643" s="1051" t="s">
        <v>652</v>
      </c>
      <c r="C643" s="1052">
        <v>43342</v>
      </c>
      <c r="D643" s="1053">
        <v>1575.39</v>
      </c>
    </row>
    <row r="644" spans="1:4">
      <c r="A644" s="1050" t="s">
        <v>651</v>
      </c>
      <c r="B644" s="1051" t="s">
        <v>650</v>
      </c>
      <c r="C644" s="1052">
        <v>43342</v>
      </c>
      <c r="D644" s="1053">
        <v>4516.6499999999996</v>
      </c>
    </row>
    <row r="645" spans="1:4">
      <c r="A645" s="1050" t="s">
        <v>442</v>
      </c>
      <c r="B645" s="1051" t="s">
        <v>441</v>
      </c>
      <c r="C645" s="1052">
        <v>43342</v>
      </c>
      <c r="D645" s="1053">
        <v>2947.14</v>
      </c>
    </row>
    <row r="646" spans="1:4">
      <c r="A646" s="1050" t="s">
        <v>1002</v>
      </c>
      <c r="B646" s="1051" t="s">
        <v>1001</v>
      </c>
      <c r="C646" s="1052">
        <v>43342</v>
      </c>
      <c r="D646" s="1053">
        <v>12838.23</v>
      </c>
    </row>
    <row r="647" spans="1:4">
      <c r="A647" s="1050" t="s">
        <v>643</v>
      </c>
      <c r="B647" s="1051" t="s">
        <v>1131</v>
      </c>
      <c r="C647" s="1052">
        <v>43342</v>
      </c>
      <c r="D647" s="1053">
        <v>501.41</v>
      </c>
    </row>
    <row r="648" spans="1:4">
      <c r="A648" s="1050" t="s">
        <v>496</v>
      </c>
      <c r="B648" s="1051" t="s">
        <v>789</v>
      </c>
      <c r="C648" s="1052">
        <v>43342</v>
      </c>
      <c r="D648" s="1053">
        <v>1000</v>
      </c>
    </row>
    <row r="649" spans="1:4">
      <c r="A649" s="1050" t="s">
        <v>641</v>
      </c>
      <c r="B649" s="1051" t="s">
        <v>893</v>
      </c>
      <c r="C649" s="1052">
        <v>43342</v>
      </c>
      <c r="D649" s="1053">
        <v>8435.68</v>
      </c>
    </row>
    <row r="650" spans="1:4">
      <c r="A650" s="1050" t="s">
        <v>649</v>
      </c>
      <c r="B650" s="1051" t="s">
        <v>648</v>
      </c>
      <c r="C650" s="1052">
        <v>43342</v>
      </c>
      <c r="D650" s="1053">
        <v>3941.98</v>
      </c>
    </row>
    <row r="651" spans="1:4">
      <c r="A651" s="1050" t="s">
        <v>647</v>
      </c>
      <c r="B651" s="1051" t="s">
        <v>646</v>
      </c>
      <c r="C651" s="1052">
        <v>43342</v>
      </c>
      <c r="D651" s="1053">
        <v>944.87</v>
      </c>
    </row>
    <row r="652" spans="1:4">
      <c r="A652" s="1050" t="s">
        <v>645</v>
      </c>
      <c r="B652" s="1051" t="s">
        <v>644</v>
      </c>
      <c r="C652" s="1052">
        <v>43342</v>
      </c>
      <c r="D652" s="1053">
        <v>1801.37</v>
      </c>
    </row>
    <row r="653" spans="1:4">
      <c r="A653" s="1050" t="s">
        <v>639</v>
      </c>
      <c r="B653" s="1051" t="s">
        <v>890</v>
      </c>
      <c r="C653" s="1052">
        <v>43342</v>
      </c>
      <c r="D653" s="1053">
        <v>1626.25</v>
      </c>
    </row>
    <row r="654" spans="1:4">
      <c r="A654" s="1050" t="s">
        <v>440</v>
      </c>
      <c r="B654" s="1051" t="s">
        <v>439</v>
      </c>
      <c r="C654" s="1052">
        <v>43342</v>
      </c>
      <c r="D654" s="1053">
        <v>332.02</v>
      </c>
    </row>
    <row r="655" spans="1:4">
      <c r="A655" s="1050" t="s">
        <v>438</v>
      </c>
      <c r="B655" s="1051" t="s">
        <v>437</v>
      </c>
      <c r="C655" s="1052">
        <v>43342</v>
      </c>
      <c r="D655" s="1053">
        <v>1000</v>
      </c>
    </row>
    <row r="656" spans="1:4">
      <c r="A656" s="1050" t="s">
        <v>436</v>
      </c>
      <c r="B656" s="1051" t="s">
        <v>435</v>
      </c>
      <c r="C656" s="1052">
        <v>43342</v>
      </c>
      <c r="D656" s="1053">
        <v>3346.91</v>
      </c>
    </row>
    <row r="657" spans="1:4">
      <c r="A657" s="1046" t="s">
        <v>737</v>
      </c>
      <c r="B657" s="1047" t="s">
        <v>1170</v>
      </c>
      <c r="C657" s="1048">
        <v>43342</v>
      </c>
      <c r="D657" s="1049">
        <v>868.26900000000001</v>
      </c>
    </row>
    <row r="658" spans="1:4">
      <c r="A658" s="1050" t="s">
        <v>623</v>
      </c>
      <c r="B658" s="1051" t="s">
        <v>622</v>
      </c>
      <c r="C658" s="1052">
        <v>43343</v>
      </c>
      <c r="D658" s="1053">
        <v>2036.63</v>
      </c>
    </row>
    <row r="659" spans="1:4">
      <c r="A659" s="1050" t="s">
        <v>467</v>
      </c>
      <c r="B659" s="1051" t="s">
        <v>466</v>
      </c>
      <c r="C659" s="1052">
        <v>43343</v>
      </c>
      <c r="D659" s="1053">
        <v>5772.39</v>
      </c>
    </row>
    <row r="660" spans="1:4">
      <c r="A660" s="1050" t="s">
        <v>621</v>
      </c>
      <c r="B660" s="1051" t="s">
        <v>620</v>
      </c>
      <c r="C660" s="1052">
        <v>43343</v>
      </c>
      <c r="D660" s="1053">
        <v>789.69</v>
      </c>
    </row>
    <row r="661" spans="1:4">
      <c r="A661" s="1050" t="s">
        <v>576</v>
      </c>
      <c r="B661" s="1051" t="s">
        <v>575</v>
      </c>
      <c r="C661" s="1052">
        <v>43343</v>
      </c>
      <c r="D661" s="1053">
        <v>638.20000000000005</v>
      </c>
    </row>
    <row r="662" spans="1:4">
      <c r="A662" s="1046" t="s">
        <v>999</v>
      </c>
      <c r="B662" s="1047" t="s">
        <v>1239</v>
      </c>
      <c r="C662" s="1048">
        <v>43343</v>
      </c>
      <c r="D662" s="1049">
        <v>878.99900000000002</v>
      </c>
    </row>
    <row r="663" spans="1:4">
      <c r="A663" s="1050" t="s">
        <v>403</v>
      </c>
      <c r="B663" s="1051" t="s">
        <v>393</v>
      </c>
      <c r="C663" s="1052">
        <v>43343</v>
      </c>
      <c r="D663" s="1053">
        <v>4290.1000000000004</v>
      </c>
    </row>
    <row r="664" spans="1:4">
      <c r="A664" s="1050" t="s">
        <v>579</v>
      </c>
      <c r="B664" s="1051" t="s">
        <v>578</v>
      </c>
      <c r="C664" s="1052">
        <v>43343</v>
      </c>
      <c r="D664" s="1053">
        <v>1054.17</v>
      </c>
    </row>
    <row r="665" spans="1:4">
      <c r="A665" s="1050" t="s">
        <v>619</v>
      </c>
      <c r="B665" s="1051" t="s">
        <v>618</v>
      </c>
      <c r="C665" s="1052">
        <v>43343</v>
      </c>
      <c r="D665" s="1053">
        <v>1702.68</v>
      </c>
    </row>
    <row r="666" spans="1:4">
      <c r="A666" s="1050" t="s">
        <v>514</v>
      </c>
      <c r="B666" s="1051" t="s">
        <v>513</v>
      </c>
      <c r="C666" s="1052">
        <v>43343</v>
      </c>
      <c r="D666" s="1053">
        <v>1000</v>
      </c>
    </row>
    <row r="667" spans="1:4">
      <c r="A667" s="1050" t="s">
        <v>617</v>
      </c>
      <c r="B667" s="1051" t="s">
        <v>426</v>
      </c>
      <c r="C667" s="1052">
        <v>43343</v>
      </c>
      <c r="D667" s="1053">
        <v>501.41</v>
      </c>
    </row>
    <row r="668" spans="1:4">
      <c r="A668" s="1050" t="s">
        <v>369</v>
      </c>
      <c r="B668" s="1051" t="s">
        <v>368</v>
      </c>
      <c r="C668" s="1052">
        <v>43343</v>
      </c>
      <c r="D668" s="1053">
        <v>5000</v>
      </c>
    </row>
    <row r="669" spans="1:4">
      <c r="A669" s="1050" t="s">
        <v>1130</v>
      </c>
      <c r="B669" s="1051" t="s">
        <v>1026</v>
      </c>
      <c r="C669" s="1052">
        <v>43343</v>
      </c>
      <c r="D669" s="1053">
        <v>964.35</v>
      </c>
    </row>
    <row r="670" spans="1:4">
      <c r="A670" s="1046" t="s">
        <v>1206</v>
      </c>
      <c r="B670" s="1047" t="s">
        <v>1205</v>
      </c>
      <c r="C670" s="1048">
        <v>43343</v>
      </c>
      <c r="D670" s="1049">
        <v>689.69799999999998</v>
      </c>
    </row>
    <row r="671" spans="1:4">
      <c r="A671" s="1046" t="s">
        <v>922</v>
      </c>
      <c r="B671" s="1047" t="s">
        <v>921</v>
      </c>
      <c r="C671" s="1048">
        <v>43343</v>
      </c>
      <c r="D671" s="1049">
        <v>2813.2840000000001</v>
      </c>
    </row>
    <row r="672" spans="1:4">
      <c r="A672" s="1050" t="s">
        <v>872</v>
      </c>
      <c r="B672" s="1051" t="s">
        <v>871</v>
      </c>
      <c r="C672" s="1052">
        <v>43343</v>
      </c>
      <c r="D672" s="1053">
        <v>979.35</v>
      </c>
    </row>
    <row r="673" spans="1:4">
      <c r="A673" s="1050" t="s">
        <v>616</v>
      </c>
      <c r="B673" s="1051" t="s">
        <v>615</v>
      </c>
      <c r="C673" s="1052">
        <v>43343</v>
      </c>
      <c r="D673" s="1053">
        <v>633.73</v>
      </c>
    </row>
    <row r="674" spans="1:4">
      <c r="A674" s="1050" t="s">
        <v>614</v>
      </c>
      <c r="B674" s="1051" t="s">
        <v>461</v>
      </c>
      <c r="C674" s="1052">
        <v>43343</v>
      </c>
      <c r="D674" s="1053">
        <v>923.09</v>
      </c>
    </row>
    <row r="675" spans="1:4">
      <c r="A675" s="1050" t="s">
        <v>388</v>
      </c>
      <c r="B675" s="1051" t="s">
        <v>387</v>
      </c>
      <c r="C675" s="1052">
        <v>43343</v>
      </c>
      <c r="D675" s="1053">
        <v>1115.8599999999999</v>
      </c>
    </row>
    <row r="676" spans="1:4">
      <c r="A676" s="1050" t="s">
        <v>460</v>
      </c>
      <c r="B676" s="1051" t="s">
        <v>459</v>
      </c>
      <c r="C676" s="1052">
        <v>43343</v>
      </c>
      <c r="D676" s="1053">
        <v>2232.3000000000002</v>
      </c>
    </row>
    <row r="677" spans="1:4">
      <c r="A677" s="1046" t="s">
        <v>1191</v>
      </c>
      <c r="B677" s="1047" t="s">
        <v>1190</v>
      </c>
      <c r="C677" s="1048">
        <v>43343</v>
      </c>
      <c r="D677" s="1049">
        <v>1636.0260000000001</v>
      </c>
    </row>
    <row r="678" spans="1:4">
      <c r="A678" s="1046" t="s">
        <v>1201</v>
      </c>
      <c r="B678" s="1047" t="s">
        <v>917</v>
      </c>
      <c r="C678" s="1048">
        <v>43343</v>
      </c>
      <c r="D678" s="1049">
        <v>3728.2109999999998</v>
      </c>
    </row>
    <row r="679" spans="1:4">
      <c r="A679" s="1050" t="s">
        <v>613</v>
      </c>
      <c r="B679" s="1051" t="s">
        <v>612</v>
      </c>
      <c r="C679" s="1052">
        <v>43343</v>
      </c>
      <c r="D679" s="1053">
        <v>1798.25</v>
      </c>
    </row>
    <row r="680" spans="1:4">
      <c r="A680" s="1050" t="s">
        <v>1114</v>
      </c>
      <c r="B680" s="1051" t="s">
        <v>1113</v>
      </c>
      <c r="C680" s="1052">
        <v>43343</v>
      </c>
      <c r="D680" s="1053">
        <v>2500</v>
      </c>
    </row>
    <row r="681" spans="1:4">
      <c r="A681" s="1050" t="s">
        <v>357</v>
      </c>
      <c r="B681" s="1051" t="s">
        <v>378</v>
      </c>
      <c r="C681" s="1052">
        <v>43343</v>
      </c>
      <c r="D681" s="1053">
        <v>959.5</v>
      </c>
    </row>
    <row r="682" spans="1:4">
      <c r="A682" s="1050" t="s">
        <v>611</v>
      </c>
      <c r="B682" s="1051" t="s">
        <v>610</v>
      </c>
      <c r="C682" s="1052">
        <v>43343</v>
      </c>
      <c r="D682" s="1053">
        <v>3249.35</v>
      </c>
    </row>
    <row r="683" spans="1:4">
      <c r="A683" s="1050" t="s">
        <v>609</v>
      </c>
      <c r="B683" s="1051" t="s">
        <v>608</v>
      </c>
      <c r="C683" s="1052">
        <v>43343</v>
      </c>
      <c r="D683" s="1053">
        <v>394.58</v>
      </c>
    </row>
    <row r="684" spans="1:4">
      <c r="A684" s="1050" t="s">
        <v>607</v>
      </c>
      <c r="B684" s="1051" t="s">
        <v>366</v>
      </c>
      <c r="C684" s="1052">
        <v>43343</v>
      </c>
      <c r="D684" s="1053">
        <v>6320.75</v>
      </c>
    </row>
    <row r="685" spans="1:4">
      <c r="A685" s="1050" t="s">
        <v>577</v>
      </c>
      <c r="B685" s="1051" t="s">
        <v>864</v>
      </c>
      <c r="C685" s="1052">
        <v>43343</v>
      </c>
      <c r="D685" s="1053">
        <v>1798.96</v>
      </c>
    </row>
    <row r="686" spans="1:4">
      <c r="A686" s="1050" t="s">
        <v>574</v>
      </c>
      <c r="B686" s="1051" t="s">
        <v>862</v>
      </c>
      <c r="C686" s="1052">
        <v>43343</v>
      </c>
      <c r="D686" s="1053">
        <v>1740.44</v>
      </c>
    </row>
    <row r="687" spans="1:4">
      <c r="A687" s="1050" t="s">
        <v>606</v>
      </c>
      <c r="B687" s="1051" t="s">
        <v>605</v>
      </c>
      <c r="C687" s="1052">
        <v>43343</v>
      </c>
      <c r="D687" s="1053">
        <v>3077.17</v>
      </c>
    </row>
    <row r="688" spans="1:4">
      <c r="A688" s="1050" t="s">
        <v>604</v>
      </c>
      <c r="B688" s="1051" t="s">
        <v>603</v>
      </c>
      <c r="C688" s="1052">
        <v>43343</v>
      </c>
      <c r="D688" s="1053">
        <v>503.04</v>
      </c>
    </row>
    <row r="689" spans="1:4">
      <c r="A689" s="1046" t="s">
        <v>885</v>
      </c>
      <c r="B689" s="1047" t="s">
        <v>884</v>
      </c>
      <c r="C689" s="1048">
        <v>43343</v>
      </c>
      <c r="D689" s="1049">
        <v>5901.2749999999996</v>
      </c>
    </row>
    <row r="690" spans="1:4">
      <c r="A690" s="1046" t="s">
        <v>1009</v>
      </c>
      <c r="B690" s="1047" t="s">
        <v>1008</v>
      </c>
      <c r="C690" s="1048">
        <v>43343</v>
      </c>
      <c r="D690" s="1049">
        <v>438.76299999999998</v>
      </c>
    </row>
    <row r="691" spans="1:4">
      <c r="A691" s="1050" t="s">
        <v>452</v>
      </c>
      <c r="B691" s="1051" t="s">
        <v>451</v>
      </c>
      <c r="C691" s="1052">
        <v>43343</v>
      </c>
      <c r="D691" s="1053">
        <v>3000</v>
      </c>
    </row>
    <row r="692" spans="1:4">
      <c r="A692" s="1050" t="s">
        <v>573</v>
      </c>
      <c r="B692" s="1051" t="s">
        <v>572</v>
      </c>
      <c r="C692" s="1052">
        <v>43343</v>
      </c>
      <c r="D692" s="1053">
        <v>851.81</v>
      </c>
    </row>
    <row r="693" spans="1:4">
      <c r="A693" s="1050" t="s">
        <v>602</v>
      </c>
      <c r="B693" s="1051" t="s">
        <v>601</v>
      </c>
      <c r="C693" s="1052">
        <v>43343</v>
      </c>
      <c r="D693" s="1053">
        <v>3530.52</v>
      </c>
    </row>
    <row r="694" spans="1:4">
      <c r="A694" s="1050" t="s">
        <v>602</v>
      </c>
      <c r="B694" s="1051" t="s">
        <v>601</v>
      </c>
      <c r="C694" s="1052">
        <v>43343</v>
      </c>
      <c r="D694" s="1053">
        <v>3512.71</v>
      </c>
    </row>
    <row r="695" spans="1:4">
      <c r="A695" s="1050" t="s">
        <v>385</v>
      </c>
      <c r="B695" s="1051" t="s">
        <v>364</v>
      </c>
      <c r="C695" s="1052">
        <v>43343</v>
      </c>
      <c r="D695" s="1053">
        <v>998.27</v>
      </c>
    </row>
    <row r="696" spans="1:4">
      <c r="A696" s="1050" t="s">
        <v>991</v>
      </c>
      <c r="B696" s="1051" t="s">
        <v>360</v>
      </c>
      <c r="C696" s="1052">
        <v>43343</v>
      </c>
      <c r="D696" s="1053">
        <v>1798</v>
      </c>
    </row>
    <row r="697" spans="1:4">
      <c r="A697" s="1050" t="s">
        <v>600</v>
      </c>
      <c r="B697" s="1051" t="s">
        <v>599</v>
      </c>
      <c r="C697" s="1052">
        <v>43343</v>
      </c>
      <c r="D697" s="1053">
        <v>421.75</v>
      </c>
    </row>
    <row r="698" spans="1:4">
      <c r="A698" s="1050" t="s">
        <v>540</v>
      </c>
      <c r="B698" s="1051" t="s">
        <v>539</v>
      </c>
      <c r="C698" s="1052">
        <v>43343</v>
      </c>
      <c r="D698" s="1053">
        <v>600</v>
      </c>
    </row>
    <row r="699" spans="1:4">
      <c r="A699" s="1050" t="s">
        <v>450</v>
      </c>
      <c r="B699" s="1051" t="s">
        <v>449</v>
      </c>
      <c r="C699" s="1052">
        <v>43343</v>
      </c>
      <c r="D699" s="1053">
        <v>1796.37</v>
      </c>
    </row>
    <row r="700" spans="1:4">
      <c r="A700" s="1046" t="s">
        <v>1003</v>
      </c>
      <c r="B700" s="1047" t="s">
        <v>1165</v>
      </c>
      <c r="C700" s="1048">
        <v>43343</v>
      </c>
      <c r="D700" s="1049">
        <v>1191.508</v>
      </c>
    </row>
    <row r="701" spans="1:4">
      <c r="A701" s="1050" t="s">
        <v>598</v>
      </c>
      <c r="B701" s="1051" t="s">
        <v>597</v>
      </c>
      <c r="C701" s="1052">
        <v>43343</v>
      </c>
      <c r="D701" s="1053">
        <v>1529.49</v>
      </c>
    </row>
    <row r="702" spans="1:4">
      <c r="A702" s="1050" t="s">
        <v>596</v>
      </c>
      <c r="B702" s="1051" t="s">
        <v>595</v>
      </c>
      <c r="C702" s="1052">
        <v>43343</v>
      </c>
      <c r="D702" s="1053">
        <v>917.44</v>
      </c>
    </row>
    <row r="703" spans="1:4">
      <c r="A703" s="1050" t="s">
        <v>415</v>
      </c>
      <c r="B703" s="1051" t="s">
        <v>414</v>
      </c>
      <c r="C703" s="1052">
        <v>43343</v>
      </c>
      <c r="D703" s="1053">
        <v>4100</v>
      </c>
    </row>
    <row r="704" spans="1:4">
      <c r="A704" s="1046" t="s">
        <v>1025</v>
      </c>
      <c r="B704" s="1047" t="s">
        <v>1024</v>
      </c>
      <c r="C704" s="1048">
        <v>43343</v>
      </c>
      <c r="D704" s="1049">
        <v>300</v>
      </c>
    </row>
    <row r="705" spans="1:4">
      <c r="A705" s="1050" t="s">
        <v>571</v>
      </c>
      <c r="B705" s="1051" t="s">
        <v>858</v>
      </c>
      <c r="C705" s="1052">
        <v>43343</v>
      </c>
      <c r="D705" s="1053">
        <v>2893.02</v>
      </c>
    </row>
    <row r="706" spans="1:4">
      <c r="A706" s="1050" t="s">
        <v>386</v>
      </c>
      <c r="B706" s="1051" t="s">
        <v>594</v>
      </c>
      <c r="C706" s="1052">
        <v>43343</v>
      </c>
      <c r="D706" s="1053">
        <v>1102.81</v>
      </c>
    </row>
    <row r="707" spans="1:4">
      <c r="A707" s="1050" t="s">
        <v>570</v>
      </c>
      <c r="B707" s="1051" t="s">
        <v>1023</v>
      </c>
      <c r="C707" s="1052">
        <v>43343</v>
      </c>
      <c r="D707" s="1053">
        <v>268.98</v>
      </c>
    </row>
    <row r="708" spans="1:4">
      <c r="A708" s="1050" t="s">
        <v>1129</v>
      </c>
      <c r="B708" s="1051" t="s">
        <v>1128</v>
      </c>
      <c r="C708" s="1052">
        <v>43343</v>
      </c>
      <c r="D708" s="1053">
        <v>1100</v>
      </c>
    </row>
    <row r="709" spans="1:4">
      <c r="A709" s="1050" t="s">
        <v>396</v>
      </c>
      <c r="B709" s="1051" t="s">
        <v>395</v>
      </c>
      <c r="C709" s="1052">
        <v>43343</v>
      </c>
      <c r="D709" s="1053">
        <v>720</v>
      </c>
    </row>
    <row r="710" spans="1:4">
      <c r="A710" s="1050" t="s">
        <v>593</v>
      </c>
      <c r="B710" s="1051" t="s">
        <v>592</v>
      </c>
      <c r="C710" s="1052">
        <v>43343</v>
      </c>
      <c r="D710" s="1053">
        <v>2360.75</v>
      </c>
    </row>
    <row r="711" spans="1:4">
      <c r="A711" s="1050" t="s">
        <v>569</v>
      </c>
      <c r="B711" s="1051" t="s">
        <v>1127</v>
      </c>
      <c r="C711" s="1052">
        <v>43343</v>
      </c>
      <c r="D711" s="1053">
        <v>994.42</v>
      </c>
    </row>
    <row r="712" spans="1:4">
      <c r="A712" s="1050" t="s">
        <v>581</v>
      </c>
      <c r="B712" s="1051" t="s">
        <v>580</v>
      </c>
      <c r="C712" s="1052">
        <v>43343</v>
      </c>
      <c r="D712" s="1053">
        <v>859.78</v>
      </c>
    </row>
    <row r="713" spans="1:4">
      <c r="A713" s="1050" t="s">
        <v>444</v>
      </c>
      <c r="B713" s="1051" t="s">
        <v>443</v>
      </c>
      <c r="C713" s="1052">
        <v>43343</v>
      </c>
      <c r="D713" s="1053">
        <v>2560.0500000000002</v>
      </c>
    </row>
    <row r="714" spans="1:4">
      <c r="A714" s="1046" t="s">
        <v>722</v>
      </c>
      <c r="B714" s="1047" t="s">
        <v>721</v>
      </c>
      <c r="C714" s="1048">
        <v>43343</v>
      </c>
      <c r="D714" s="1049">
        <v>2518.8789999999999</v>
      </c>
    </row>
    <row r="715" spans="1:4">
      <c r="A715" s="1050" t="s">
        <v>591</v>
      </c>
      <c r="B715" s="1051" t="s">
        <v>590</v>
      </c>
      <c r="C715" s="1052">
        <v>43343</v>
      </c>
      <c r="D715" s="1053">
        <v>3537.55</v>
      </c>
    </row>
    <row r="716" spans="1:4">
      <c r="A716" s="1050" t="s">
        <v>589</v>
      </c>
      <c r="B716" s="1051" t="s">
        <v>588</v>
      </c>
      <c r="C716" s="1052">
        <v>43343</v>
      </c>
      <c r="D716" s="1053">
        <v>446.14</v>
      </c>
    </row>
    <row r="717" spans="1:4">
      <c r="A717" s="1050" t="s">
        <v>838</v>
      </c>
      <c r="B717" s="1051" t="s">
        <v>837</v>
      </c>
      <c r="C717" s="1052">
        <v>43343</v>
      </c>
      <c r="D717" s="1053">
        <v>1800</v>
      </c>
    </row>
    <row r="718" spans="1:4">
      <c r="A718" s="1050" t="s">
        <v>587</v>
      </c>
      <c r="B718" s="1051" t="s">
        <v>586</v>
      </c>
      <c r="C718" s="1052">
        <v>43343</v>
      </c>
      <c r="D718" s="1053">
        <v>3573.55</v>
      </c>
    </row>
    <row r="719" spans="1:4">
      <c r="A719" s="1050" t="s">
        <v>585</v>
      </c>
      <c r="B719" s="1051" t="s">
        <v>584</v>
      </c>
      <c r="C719" s="1052">
        <v>43343</v>
      </c>
      <c r="D719" s="1053">
        <v>1853.44</v>
      </c>
    </row>
    <row r="720" spans="1:4">
      <c r="A720" s="1050" t="s">
        <v>517</v>
      </c>
      <c r="B720" s="1051" t="s">
        <v>516</v>
      </c>
      <c r="C720" s="1052">
        <v>43343</v>
      </c>
      <c r="D720" s="1053">
        <v>547</v>
      </c>
    </row>
    <row r="721" spans="1:4">
      <c r="A721" s="1050" t="s">
        <v>583</v>
      </c>
      <c r="B721" s="1051" t="s">
        <v>582</v>
      </c>
      <c r="C721" s="1052">
        <v>43343</v>
      </c>
      <c r="D721" s="1053">
        <v>5766.13</v>
      </c>
    </row>
    <row r="722" spans="1:4" ht="15.75" thickBot="1">
      <c r="A722" s="1072" t="s">
        <v>889</v>
      </c>
      <c r="B722" s="1073" t="s">
        <v>888</v>
      </c>
      <c r="C722" s="1074">
        <v>43343</v>
      </c>
      <c r="D722" s="1075">
        <v>1408.3579999999999</v>
      </c>
    </row>
    <row r="723" spans="1:4" s="1044" customFormat="1" ht="15.75" thickBot="1">
      <c r="A723" s="1069" t="s">
        <v>1320</v>
      </c>
      <c r="B723" s="1070"/>
      <c r="C723" s="1070"/>
      <c r="D723" s="1071">
        <f>SUM(D337:D722)</f>
        <v>686904.94200000027</v>
      </c>
    </row>
    <row r="724" spans="1:4">
      <c r="A724" s="1065" t="s">
        <v>568</v>
      </c>
      <c r="B724" s="1066" t="s">
        <v>567</v>
      </c>
      <c r="C724" s="1067">
        <v>43344</v>
      </c>
      <c r="D724" s="1068">
        <v>739.38</v>
      </c>
    </row>
    <row r="725" spans="1:4">
      <c r="A725" s="1046" t="s">
        <v>826</v>
      </c>
      <c r="B725" s="1047" t="s">
        <v>825</v>
      </c>
      <c r="C725" s="1048">
        <v>43344</v>
      </c>
      <c r="D725" s="1049">
        <v>8488.1059999999998</v>
      </c>
    </row>
    <row r="726" spans="1:4">
      <c r="A726" s="1050" t="s">
        <v>417</v>
      </c>
      <c r="B726" s="1051" t="s">
        <v>416</v>
      </c>
      <c r="C726" s="1052">
        <v>43344</v>
      </c>
      <c r="D726" s="1053">
        <v>1700</v>
      </c>
    </row>
    <row r="727" spans="1:4">
      <c r="A727" s="1050" t="s">
        <v>566</v>
      </c>
      <c r="B727" s="1051" t="s">
        <v>565</v>
      </c>
      <c r="C727" s="1052">
        <v>43345</v>
      </c>
      <c r="D727" s="1053">
        <v>2917.72</v>
      </c>
    </row>
    <row r="728" spans="1:4">
      <c r="A728" s="1050" t="s">
        <v>1007</v>
      </c>
      <c r="B728" s="1051" t="s">
        <v>1006</v>
      </c>
      <c r="C728" s="1052">
        <v>43345</v>
      </c>
      <c r="D728" s="1053">
        <v>378.85</v>
      </c>
    </row>
    <row r="729" spans="1:4">
      <c r="A729" s="1050" t="s">
        <v>564</v>
      </c>
      <c r="B729" s="1051" t="s">
        <v>404</v>
      </c>
      <c r="C729" s="1052">
        <v>43346</v>
      </c>
      <c r="D729" s="1053">
        <v>892.38</v>
      </c>
    </row>
    <row r="730" spans="1:4">
      <c r="A730" s="1046" t="s">
        <v>1009</v>
      </c>
      <c r="B730" s="1047" t="s">
        <v>1008</v>
      </c>
      <c r="C730" s="1048">
        <v>43346</v>
      </c>
      <c r="D730" s="1049">
        <v>420</v>
      </c>
    </row>
    <row r="731" spans="1:4">
      <c r="A731" s="1046" t="s">
        <v>540</v>
      </c>
      <c r="B731" s="1047" t="s">
        <v>539</v>
      </c>
      <c r="C731" s="1048">
        <v>43346</v>
      </c>
      <c r="D731" s="1049">
        <v>973.63900000000001</v>
      </c>
    </row>
    <row r="732" spans="1:4">
      <c r="A732" s="1050" t="s">
        <v>1010</v>
      </c>
      <c r="B732" s="1051" t="s">
        <v>873</v>
      </c>
      <c r="C732" s="1052">
        <v>43347</v>
      </c>
      <c r="D732" s="1053">
        <v>1050.9000000000001</v>
      </c>
    </row>
    <row r="733" spans="1:4">
      <c r="A733" s="1046" t="s">
        <v>1211</v>
      </c>
      <c r="B733" s="1047" t="s">
        <v>927</v>
      </c>
      <c r="C733" s="1048">
        <v>43347</v>
      </c>
      <c r="D733" s="1049">
        <v>888.72699999999998</v>
      </c>
    </row>
    <row r="734" spans="1:4">
      <c r="A734" s="1050" t="s">
        <v>563</v>
      </c>
      <c r="B734" s="1051" t="s">
        <v>562</v>
      </c>
      <c r="C734" s="1052">
        <v>43347</v>
      </c>
      <c r="D734" s="1053">
        <v>4511.91</v>
      </c>
    </row>
    <row r="735" spans="1:4">
      <c r="A735" s="1050" t="s">
        <v>561</v>
      </c>
      <c r="B735" s="1051" t="s">
        <v>560</v>
      </c>
      <c r="C735" s="1052">
        <v>43347</v>
      </c>
      <c r="D735" s="1053">
        <v>1816.64</v>
      </c>
    </row>
    <row r="736" spans="1:4">
      <c r="A736" s="1046" t="s">
        <v>730</v>
      </c>
      <c r="B736" s="1047" t="s">
        <v>729</v>
      </c>
      <c r="C736" s="1048">
        <v>43347</v>
      </c>
      <c r="D736" s="1049">
        <v>654.35400000000004</v>
      </c>
    </row>
    <row r="737" spans="1:4">
      <c r="A737" s="1046" t="s">
        <v>1235</v>
      </c>
      <c r="B737" s="1047" t="s">
        <v>819</v>
      </c>
      <c r="C737" s="1048">
        <v>43348</v>
      </c>
      <c r="D737" s="1049">
        <v>580.54700000000003</v>
      </c>
    </row>
    <row r="738" spans="1:4">
      <c r="A738" s="1050" t="s">
        <v>559</v>
      </c>
      <c r="B738" s="1051" t="s">
        <v>558</v>
      </c>
      <c r="C738" s="1052">
        <v>43348</v>
      </c>
      <c r="D738" s="1053">
        <v>531.94000000000005</v>
      </c>
    </row>
    <row r="739" spans="1:4">
      <c r="A739" s="1050" t="s">
        <v>557</v>
      </c>
      <c r="B739" s="1051" t="s">
        <v>408</v>
      </c>
      <c r="C739" s="1052">
        <v>43348</v>
      </c>
      <c r="D739" s="1053">
        <v>2708.4</v>
      </c>
    </row>
    <row r="740" spans="1:4">
      <c r="A740" s="1046" t="s">
        <v>1193</v>
      </c>
      <c r="B740" s="1047" t="s">
        <v>1192</v>
      </c>
      <c r="C740" s="1048">
        <v>43348</v>
      </c>
      <c r="D740" s="1049">
        <v>2222.7220000000002</v>
      </c>
    </row>
    <row r="741" spans="1:4">
      <c r="A741" s="1046" t="s">
        <v>816</v>
      </c>
      <c r="B741" s="1047" t="s">
        <v>1210</v>
      </c>
      <c r="C741" s="1048">
        <v>43348</v>
      </c>
      <c r="D741" s="1049">
        <v>439.81099999999998</v>
      </c>
    </row>
    <row r="742" spans="1:4">
      <c r="A742" s="1050" t="s">
        <v>402</v>
      </c>
      <c r="B742" s="1051" t="s">
        <v>401</v>
      </c>
      <c r="C742" s="1052">
        <v>43348</v>
      </c>
      <c r="D742" s="1053">
        <v>629.80999999999995</v>
      </c>
    </row>
    <row r="743" spans="1:4">
      <c r="A743" s="1050" t="s">
        <v>556</v>
      </c>
      <c r="B743" s="1051" t="s">
        <v>555</v>
      </c>
      <c r="C743" s="1052">
        <v>43348</v>
      </c>
      <c r="D743" s="1053">
        <v>2060.17</v>
      </c>
    </row>
    <row r="744" spans="1:4">
      <c r="A744" s="1050" t="s">
        <v>554</v>
      </c>
      <c r="B744" s="1051" t="s">
        <v>553</v>
      </c>
      <c r="C744" s="1052">
        <v>43348</v>
      </c>
      <c r="D744" s="1053">
        <v>2867.55</v>
      </c>
    </row>
    <row r="745" spans="1:4">
      <c r="A745" s="1050" t="s">
        <v>552</v>
      </c>
      <c r="B745" s="1051" t="s">
        <v>551</v>
      </c>
      <c r="C745" s="1052">
        <v>43348</v>
      </c>
      <c r="D745" s="1053">
        <v>2000</v>
      </c>
    </row>
    <row r="746" spans="1:4">
      <c r="A746" s="1050" t="s">
        <v>550</v>
      </c>
      <c r="B746" s="1051" t="s">
        <v>549</v>
      </c>
      <c r="C746" s="1052">
        <v>43348</v>
      </c>
      <c r="D746" s="1053">
        <v>787.43</v>
      </c>
    </row>
    <row r="747" spans="1:4">
      <c r="A747" s="1050" t="s">
        <v>545</v>
      </c>
      <c r="B747" s="1051" t="s">
        <v>764</v>
      </c>
      <c r="C747" s="1052">
        <v>43348</v>
      </c>
      <c r="D747" s="1053">
        <v>1675.97</v>
      </c>
    </row>
    <row r="748" spans="1:4">
      <c r="A748" s="1050" t="s">
        <v>548</v>
      </c>
      <c r="B748" s="1051" t="s">
        <v>547</v>
      </c>
      <c r="C748" s="1052">
        <v>43348</v>
      </c>
      <c r="D748" s="1053">
        <v>1991.6</v>
      </c>
    </row>
    <row r="749" spans="1:4">
      <c r="A749" s="1050" t="s">
        <v>420</v>
      </c>
      <c r="B749" s="1051" t="s">
        <v>478</v>
      </c>
      <c r="C749" s="1052">
        <v>43348</v>
      </c>
      <c r="D749" s="1053">
        <v>2000</v>
      </c>
    </row>
    <row r="750" spans="1:4">
      <c r="A750" s="1050" t="s">
        <v>420</v>
      </c>
      <c r="B750" s="1051" t="s">
        <v>478</v>
      </c>
      <c r="C750" s="1052">
        <v>43348</v>
      </c>
      <c r="D750" s="1053">
        <v>1600</v>
      </c>
    </row>
    <row r="751" spans="1:4">
      <c r="A751" s="1050" t="s">
        <v>546</v>
      </c>
      <c r="B751" s="1051" t="s">
        <v>795</v>
      </c>
      <c r="C751" s="1052">
        <v>43348</v>
      </c>
      <c r="D751" s="1053">
        <v>736.39</v>
      </c>
    </row>
    <row r="752" spans="1:4">
      <c r="A752" s="1050" t="s">
        <v>500</v>
      </c>
      <c r="B752" s="1051" t="s">
        <v>783</v>
      </c>
      <c r="C752" s="1052">
        <v>43348</v>
      </c>
      <c r="D752" s="1053">
        <v>920</v>
      </c>
    </row>
    <row r="753" spans="1:4">
      <c r="A753" s="1050" t="s">
        <v>517</v>
      </c>
      <c r="B753" s="1051" t="s">
        <v>516</v>
      </c>
      <c r="C753" s="1052">
        <v>43348</v>
      </c>
      <c r="D753" s="1053">
        <v>550</v>
      </c>
    </row>
    <row r="754" spans="1:4">
      <c r="A754" s="1050" t="s">
        <v>415</v>
      </c>
      <c r="B754" s="1051" t="s">
        <v>414</v>
      </c>
      <c r="C754" s="1052">
        <v>43349</v>
      </c>
      <c r="D754" s="1053">
        <v>4100</v>
      </c>
    </row>
    <row r="755" spans="1:4">
      <c r="A755" s="1050" t="s">
        <v>505</v>
      </c>
      <c r="B755" s="1051" t="s">
        <v>504</v>
      </c>
      <c r="C755" s="1052">
        <v>43349</v>
      </c>
      <c r="D755" s="1053">
        <v>1500</v>
      </c>
    </row>
    <row r="756" spans="1:4">
      <c r="A756" s="1050" t="s">
        <v>480</v>
      </c>
      <c r="B756" s="1051" t="s">
        <v>479</v>
      </c>
      <c r="C756" s="1052">
        <v>43349</v>
      </c>
      <c r="D756" s="1053">
        <v>5000</v>
      </c>
    </row>
    <row r="757" spans="1:4">
      <c r="A757" s="1050" t="s">
        <v>474</v>
      </c>
      <c r="B757" s="1051" t="s">
        <v>473</v>
      </c>
      <c r="C757" s="1052">
        <v>43350</v>
      </c>
      <c r="D757" s="1053">
        <v>920</v>
      </c>
    </row>
    <row r="758" spans="1:4">
      <c r="A758" s="1050" t="s">
        <v>407</v>
      </c>
      <c r="B758" s="1051" t="s">
        <v>406</v>
      </c>
      <c r="C758" s="1052">
        <v>43350</v>
      </c>
      <c r="D758" s="1053">
        <v>1726.55</v>
      </c>
    </row>
    <row r="759" spans="1:4">
      <c r="A759" s="1050" t="s">
        <v>544</v>
      </c>
      <c r="B759" s="1051" t="s">
        <v>543</v>
      </c>
      <c r="C759" s="1052">
        <v>43350</v>
      </c>
      <c r="D759" s="1053">
        <v>976.71</v>
      </c>
    </row>
    <row r="760" spans="1:4">
      <c r="A760" s="1050" t="s">
        <v>542</v>
      </c>
      <c r="B760" s="1051" t="s">
        <v>541</v>
      </c>
      <c r="C760" s="1052">
        <v>43350</v>
      </c>
      <c r="D760" s="1053">
        <v>1582.57</v>
      </c>
    </row>
    <row r="761" spans="1:4">
      <c r="A761" s="1046" t="s">
        <v>713</v>
      </c>
      <c r="B761" s="1047" t="s">
        <v>712</v>
      </c>
      <c r="C761" s="1048">
        <v>43350</v>
      </c>
      <c r="D761" s="1049">
        <v>1000</v>
      </c>
    </row>
    <row r="762" spans="1:4">
      <c r="A762" s="1050" t="s">
        <v>540</v>
      </c>
      <c r="B762" s="1051" t="s">
        <v>539</v>
      </c>
      <c r="C762" s="1052">
        <v>43350</v>
      </c>
      <c r="D762" s="1053">
        <v>694.76</v>
      </c>
    </row>
    <row r="763" spans="1:4">
      <c r="A763" s="1050" t="s">
        <v>538</v>
      </c>
      <c r="B763" s="1051" t="s">
        <v>537</v>
      </c>
      <c r="C763" s="1052">
        <v>43350</v>
      </c>
      <c r="D763" s="1053">
        <v>2148.29</v>
      </c>
    </row>
    <row r="764" spans="1:4">
      <c r="A764" s="1050" t="s">
        <v>536</v>
      </c>
      <c r="B764" s="1051" t="s">
        <v>1126</v>
      </c>
      <c r="C764" s="1052">
        <v>43350</v>
      </c>
      <c r="D764" s="1053">
        <v>7536.06</v>
      </c>
    </row>
    <row r="765" spans="1:4">
      <c r="A765" s="1050" t="s">
        <v>1118</v>
      </c>
      <c r="B765" s="1051" t="s">
        <v>1047</v>
      </c>
      <c r="C765" s="1052">
        <v>43351</v>
      </c>
      <c r="D765" s="1053">
        <v>5069.12</v>
      </c>
    </row>
    <row r="766" spans="1:4">
      <c r="A766" s="1050" t="s">
        <v>402</v>
      </c>
      <c r="B766" s="1051" t="s">
        <v>401</v>
      </c>
      <c r="C766" s="1052">
        <v>43351</v>
      </c>
      <c r="D766" s="1053">
        <v>1256</v>
      </c>
    </row>
    <row r="767" spans="1:4">
      <c r="A767" s="1050" t="s">
        <v>531</v>
      </c>
      <c r="B767" s="1051" t="s">
        <v>530</v>
      </c>
      <c r="C767" s="1052">
        <v>43351</v>
      </c>
      <c r="D767" s="1053">
        <v>859.78</v>
      </c>
    </row>
    <row r="768" spans="1:4">
      <c r="A768" s="1050" t="s">
        <v>535</v>
      </c>
      <c r="B768" s="1051" t="s">
        <v>534</v>
      </c>
      <c r="C768" s="1052">
        <v>43351</v>
      </c>
      <c r="D768" s="1053">
        <v>1983.19</v>
      </c>
    </row>
    <row r="769" spans="1:4">
      <c r="A769" s="1046" t="s">
        <v>806</v>
      </c>
      <c r="B769" s="1047" t="s">
        <v>1224</v>
      </c>
      <c r="C769" s="1048">
        <v>43351</v>
      </c>
      <c r="D769" s="1049">
        <v>1269.155</v>
      </c>
    </row>
    <row r="770" spans="1:4">
      <c r="A770" s="1050" t="s">
        <v>363</v>
      </c>
      <c r="B770" s="1051" t="s">
        <v>362</v>
      </c>
      <c r="C770" s="1052">
        <v>43351</v>
      </c>
      <c r="D770" s="1053">
        <v>2380</v>
      </c>
    </row>
    <row r="771" spans="1:4">
      <c r="A771" s="1050" t="s">
        <v>533</v>
      </c>
      <c r="B771" s="1051" t="s">
        <v>532</v>
      </c>
      <c r="C771" s="1052">
        <v>43351</v>
      </c>
      <c r="D771" s="1053">
        <v>653.46</v>
      </c>
    </row>
    <row r="772" spans="1:4">
      <c r="A772" s="1050" t="s">
        <v>468</v>
      </c>
      <c r="B772" s="1051" t="s">
        <v>709</v>
      </c>
      <c r="C772" s="1052">
        <v>43351</v>
      </c>
      <c r="D772" s="1053">
        <v>2000</v>
      </c>
    </row>
    <row r="773" spans="1:4">
      <c r="A773" s="1050" t="s">
        <v>1010</v>
      </c>
      <c r="B773" s="1051" t="s">
        <v>873</v>
      </c>
      <c r="C773" s="1052">
        <v>43352</v>
      </c>
      <c r="D773" s="1053">
        <v>1041.1400000000001</v>
      </c>
    </row>
    <row r="774" spans="1:4">
      <c r="A774" s="1050" t="s">
        <v>529</v>
      </c>
      <c r="B774" s="1051" t="s">
        <v>528</v>
      </c>
      <c r="C774" s="1052">
        <v>43352</v>
      </c>
      <c r="D774" s="1053">
        <v>825.87</v>
      </c>
    </row>
    <row r="775" spans="1:4">
      <c r="A775" s="1050" t="s">
        <v>745</v>
      </c>
      <c r="B775" s="1051" t="s">
        <v>744</v>
      </c>
      <c r="C775" s="1052">
        <v>43352</v>
      </c>
      <c r="D775" s="1053">
        <v>670</v>
      </c>
    </row>
    <row r="776" spans="1:4">
      <c r="A776" s="1050" t="s">
        <v>500</v>
      </c>
      <c r="B776" s="1051" t="s">
        <v>783</v>
      </c>
      <c r="C776" s="1052">
        <v>43352</v>
      </c>
      <c r="D776" s="1053">
        <v>919</v>
      </c>
    </row>
    <row r="777" spans="1:4">
      <c r="A777" s="1050" t="s">
        <v>527</v>
      </c>
      <c r="B777" s="1051" t="s">
        <v>526</v>
      </c>
      <c r="C777" s="1052">
        <v>43353</v>
      </c>
      <c r="D777" s="1053">
        <v>2640.08</v>
      </c>
    </row>
    <row r="778" spans="1:4">
      <c r="A778" s="1050" t="s">
        <v>398</v>
      </c>
      <c r="B778" s="1051" t="s">
        <v>397</v>
      </c>
      <c r="C778" s="1052">
        <v>43353</v>
      </c>
      <c r="D778" s="1053">
        <v>439</v>
      </c>
    </row>
    <row r="779" spans="1:4">
      <c r="A779" s="1050" t="s">
        <v>402</v>
      </c>
      <c r="B779" s="1051" t="s">
        <v>401</v>
      </c>
      <c r="C779" s="1052">
        <v>43353</v>
      </c>
      <c r="D779" s="1053">
        <v>1250</v>
      </c>
    </row>
    <row r="780" spans="1:4">
      <c r="A780" s="1050" t="s">
        <v>514</v>
      </c>
      <c r="B780" s="1051" t="s">
        <v>513</v>
      </c>
      <c r="C780" s="1052">
        <v>43353</v>
      </c>
      <c r="D780" s="1053">
        <v>972.15</v>
      </c>
    </row>
    <row r="781" spans="1:4">
      <c r="A781" s="1050" t="s">
        <v>388</v>
      </c>
      <c r="B781" s="1051" t="s">
        <v>387</v>
      </c>
      <c r="C781" s="1052">
        <v>43353</v>
      </c>
      <c r="D781" s="1053">
        <v>1115.8599999999999</v>
      </c>
    </row>
    <row r="782" spans="1:4">
      <c r="A782" s="1050" t="s">
        <v>400</v>
      </c>
      <c r="B782" s="1051" t="s">
        <v>399</v>
      </c>
      <c r="C782" s="1052">
        <v>43353</v>
      </c>
      <c r="D782" s="1053">
        <v>2000</v>
      </c>
    </row>
    <row r="783" spans="1:4">
      <c r="A783" s="1046" t="s">
        <v>1009</v>
      </c>
      <c r="B783" s="1047" t="s">
        <v>1008</v>
      </c>
      <c r="C783" s="1048">
        <v>43353</v>
      </c>
      <c r="D783" s="1049">
        <v>420</v>
      </c>
    </row>
    <row r="784" spans="1:4">
      <c r="A784" s="1050" t="s">
        <v>361</v>
      </c>
      <c r="B784" s="1051" t="s">
        <v>360</v>
      </c>
      <c r="C784" s="1052">
        <v>43353</v>
      </c>
      <c r="D784" s="1053">
        <v>1797.72</v>
      </c>
    </row>
    <row r="785" spans="1:4">
      <c r="A785" s="1046" t="s">
        <v>600</v>
      </c>
      <c r="B785" s="1047" t="s">
        <v>599</v>
      </c>
      <c r="C785" s="1048">
        <v>43353</v>
      </c>
      <c r="D785" s="1049">
        <v>655</v>
      </c>
    </row>
    <row r="786" spans="1:4">
      <c r="A786" s="1050" t="s">
        <v>512</v>
      </c>
      <c r="B786" s="1051" t="s">
        <v>597</v>
      </c>
      <c r="C786" s="1052">
        <v>43353</v>
      </c>
      <c r="D786" s="1053">
        <v>1342.41</v>
      </c>
    </row>
    <row r="787" spans="1:4">
      <c r="A787" s="1050" t="s">
        <v>493</v>
      </c>
      <c r="B787" s="1051" t="s">
        <v>492</v>
      </c>
      <c r="C787" s="1052">
        <v>43353</v>
      </c>
      <c r="D787" s="1053">
        <v>2063.41</v>
      </c>
    </row>
    <row r="788" spans="1:4">
      <c r="A788" s="1046" t="s">
        <v>1025</v>
      </c>
      <c r="B788" s="1047" t="s">
        <v>1024</v>
      </c>
      <c r="C788" s="1048">
        <v>43353</v>
      </c>
      <c r="D788" s="1049">
        <v>300</v>
      </c>
    </row>
    <row r="789" spans="1:4">
      <c r="A789" s="1050" t="s">
        <v>511</v>
      </c>
      <c r="B789" s="1051" t="s">
        <v>510</v>
      </c>
      <c r="C789" s="1052">
        <v>43353</v>
      </c>
      <c r="D789" s="1053">
        <v>3860.07</v>
      </c>
    </row>
    <row r="790" spans="1:4">
      <c r="A790" s="1050" t="s">
        <v>371</v>
      </c>
      <c r="B790" s="1051" t="s">
        <v>370</v>
      </c>
      <c r="C790" s="1052">
        <v>43353</v>
      </c>
      <c r="D790" s="1053">
        <v>1539.81</v>
      </c>
    </row>
    <row r="791" spans="1:4">
      <c r="A791" s="1050" t="s">
        <v>747</v>
      </c>
      <c r="B791" s="1051" t="s">
        <v>746</v>
      </c>
      <c r="C791" s="1052">
        <v>43353</v>
      </c>
      <c r="D791" s="1053">
        <v>2200</v>
      </c>
    </row>
    <row r="792" spans="1:4">
      <c r="A792" s="1050" t="s">
        <v>509</v>
      </c>
      <c r="B792" s="1051" t="s">
        <v>508</v>
      </c>
      <c r="C792" s="1052">
        <v>43353</v>
      </c>
      <c r="D792" s="1053">
        <v>420.88</v>
      </c>
    </row>
    <row r="793" spans="1:4">
      <c r="A793" s="1050" t="s">
        <v>420</v>
      </c>
      <c r="B793" s="1051" t="s">
        <v>478</v>
      </c>
      <c r="C793" s="1052">
        <v>43353</v>
      </c>
      <c r="D793" s="1053">
        <v>2000</v>
      </c>
    </row>
    <row r="794" spans="1:4">
      <c r="A794" s="1050" t="s">
        <v>420</v>
      </c>
      <c r="B794" s="1051" t="s">
        <v>478</v>
      </c>
      <c r="C794" s="1052">
        <v>43353</v>
      </c>
      <c r="D794" s="1053">
        <v>1600</v>
      </c>
    </row>
    <row r="795" spans="1:4">
      <c r="A795" s="1050" t="s">
        <v>657</v>
      </c>
      <c r="B795" s="1051" t="s">
        <v>656</v>
      </c>
      <c r="C795" s="1052">
        <v>43353</v>
      </c>
      <c r="D795" s="1053">
        <v>1200</v>
      </c>
    </row>
    <row r="796" spans="1:4">
      <c r="A796" s="1050" t="s">
        <v>525</v>
      </c>
      <c r="B796" s="1051" t="s">
        <v>524</v>
      </c>
      <c r="C796" s="1052">
        <v>43353</v>
      </c>
      <c r="D796" s="1053">
        <v>339</v>
      </c>
    </row>
    <row r="797" spans="1:4">
      <c r="A797" s="1050" t="s">
        <v>515</v>
      </c>
      <c r="B797" s="1051" t="s">
        <v>794</v>
      </c>
      <c r="C797" s="1052">
        <v>43353</v>
      </c>
      <c r="D797" s="1053">
        <v>4189.46</v>
      </c>
    </row>
    <row r="798" spans="1:4">
      <c r="A798" s="1050" t="s">
        <v>523</v>
      </c>
      <c r="B798" s="1051" t="s">
        <v>522</v>
      </c>
      <c r="C798" s="1052">
        <v>43353</v>
      </c>
      <c r="D798" s="1053">
        <v>1122.6199999999999</v>
      </c>
    </row>
    <row r="799" spans="1:4">
      <c r="A799" s="1050" t="s">
        <v>892</v>
      </c>
      <c r="B799" s="1051" t="s">
        <v>891</v>
      </c>
      <c r="C799" s="1052">
        <v>43353</v>
      </c>
      <c r="D799" s="1053">
        <v>1126.67</v>
      </c>
    </row>
    <row r="800" spans="1:4">
      <c r="A800" s="1050" t="s">
        <v>521</v>
      </c>
      <c r="B800" s="1051" t="s">
        <v>520</v>
      </c>
      <c r="C800" s="1052">
        <v>43353</v>
      </c>
      <c r="D800" s="1053">
        <v>1410.37</v>
      </c>
    </row>
    <row r="801" spans="1:4">
      <c r="A801" s="1050" t="s">
        <v>519</v>
      </c>
      <c r="B801" s="1051" t="s">
        <v>518</v>
      </c>
      <c r="C801" s="1052">
        <v>43353</v>
      </c>
      <c r="D801" s="1053">
        <v>2660.61</v>
      </c>
    </row>
    <row r="802" spans="1:4">
      <c r="A802" s="1050" t="s">
        <v>438</v>
      </c>
      <c r="B802" s="1051" t="s">
        <v>437</v>
      </c>
      <c r="C802" s="1052">
        <v>43353</v>
      </c>
      <c r="D802" s="1053">
        <v>892.61</v>
      </c>
    </row>
    <row r="803" spans="1:4">
      <c r="A803" s="1050" t="s">
        <v>517</v>
      </c>
      <c r="B803" s="1051" t="s">
        <v>516</v>
      </c>
      <c r="C803" s="1052">
        <v>43353</v>
      </c>
      <c r="D803" s="1053">
        <v>545</v>
      </c>
    </row>
    <row r="804" spans="1:4">
      <c r="A804" s="1050" t="s">
        <v>480</v>
      </c>
      <c r="B804" s="1051" t="s">
        <v>479</v>
      </c>
      <c r="C804" s="1052">
        <v>43353</v>
      </c>
      <c r="D804" s="1053">
        <v>1443.29</v>
      </c>
    </row>
    <row r="805" spans="1:4">
      <c r="A805" s="1050" t="s">
        <v>1125</v>
      </c>
      <c r="B805" s="1051" t="s">
        <v>1124</v>
      </c>
      <c r="C805" s="1052">
        <v>43353</v>
      </c>
      <c r="D805" s="1053">
        <v>1441.3</v>
      </c>
    </row>
    <row r="806" spans="1:4">
      <c r="A806" s="1050" t="s">
        <v>474</v>
      </c>
      <c r="B806" s="1051" t="s">
        <v>473</v>
      </c>
      <c r="C806" s="1052">
        <v>43354</v>
      </c>
      <c r="D806" s="1053">
        <v>958.54</v>
      </c>
    </row>
    <row r="807" spans="1:4">
      <c r="A807" s="1050" t="s">
        <v>405</v>
      </c>
      <c r="B807" s="1051" t="s">
        <v>404</v>
      </c>
      <c r="C807" s="1052">
        <v>43354</v>
      </c>
      <c r="D807" s="1053">
        <v>893.02</v>
      </c>
    </row>
    <row r="808" spans="1:4">
      <c r="A808" s="1050" t="s">
        <v>456</v>
      </c>
      <c r="B808" s="1051" t="s">
        <v>378</v>
      </c>
      <c r="C808" s="1052">
        <v>43354</v>
      </c>
      <c r="D808" s="1053">
        <v>900</v>
      </c>
    </row>
    <row r="809" spans="1:4">
      <c r="A809" s="1050" t="s">
        <v>470</v>
      </c>
      <c r="B809" s="1051" t="s">
        <v>469</v>
      </c>
      <c r="C809" s="1052">
        <v>43354</v>
      </c>
      <c r="D809" s="1053">
        <v>592.97</v>
      </c>
    </row>
    <row r="810" spans="1:4">
      <c r="A810" s="1050" t="s">
        <v>1123</v>
      </c>
      <c r="B810" s="1051" t="s">
        <v>1122</v>
      </c>
      <c r="C810" s="1052">
        <v>43355</v>
      </c>
      <c r="D810" s="1053">
        <v>647.25</v>
      </c>
    </row>
    <row r="811" spans="1:4">
      <c r="A811" s="1050" t="s">
        <v>383</v>
      </c>
      <c r="B811" s="1051" t="s">
        <v>379</v>
      </c>
      <c r="C811" s="1052">
        <v>43355</v>
      </c>
      <c r="D811" s="1053">
        <v>500</v>
      </c>
    </row>
    <row r="812" spans="1:4">
      <c r="A812" s="1050" t="s">
        <v>415</v>
      </c>
      <c r="B812" s="1051" t="s">
        <v>414</v>
      </c>
      <c r="C812" s="1052">
        <v>43355</v>
      </c>
      <c r="D812" s="1053">
        <v>1000</v>
      </c>
    </row>
    <row r="813" spans="1:4">
      <c r="A813" s="1050" t="s">
        <v>507</v>
      </c>
      <c r="B813" s="1051" t="s">
        <v>506</v>
      </c>
      <c r="C813" s="1052">
        <v>43355</v>
      </c>
      <c r="D813" s="1053">
        <v>479.93</v>
      </c>
    </row>
    <row r="814" spans="1:4">
      <c r="A814" s="1050" t="s">
        <v>444</v>
      </c>
      <c r="B814" s="1051" t="s">
        <v>443</v>
      </c>
      <c r="C814" s="1052">
        <v>43355</v>
      </c>
      <c r="D814" s="1053">
        <v>1247.5999999999999</v>
      </c>
    </row>
    <row r="815" spans="1:4">
      <c r="A815" s="1050" t="s">
        <v>403</v>
      </c>
      <c r="B815" s="1051" t="s">
        <v>393</v>
      </c>
      <c r="C815" s="1052">
        <v>43356</v>
      </c>
      <c r="D815" s="1053">
        <v>4290.1000000000004</v>
      </c>
    </row>
    <row r="816" spans="1:4">
      <c r="A816" s="1050" t="s">
        <v>382</v>
      </c>
      <c r="B816" s="1051" t="s">
        <v>381</v>
      </c>
      <c r="C816" s="1052">
        <v>43356</v>
      </c>
      <c r="D816" s="1053">
        <v>1400</v>
      </c>
    </row>
    <row r="817" spans="1:4">
      <c r="A817" s="1050" t="s">
        <v>505</v>
      </c>
      <c r="B817" s="1051" t="s">
        <v>504</v>
      </c>
      <c r="C817" s="1052">
        <v>43356</v>
      </c>
      <c r="D817" s="1053">
        <v>1032.3499999999999</v>
      </c>
    </row>
    <row r="818" spans="1:4">
      <c r="A818" s="1046" t="s">
        <v>730</v>
      </c>
      <c r="B818" s="1047" t="s">
        <v>729</v>
      </c>
      <c r="C818" s="1048">
        <v>43356</v>
      </c>
      <c r="D818" s="1049">
        <v>654.35400000000004</v>
      </c>
    </row>
    <row r="819" spans="1:4">
      <c r="A819" s="1050" t="s">
        <v>470</v>
      </c>
      <c r="B819" s="1051" t="s">
        <v>469</v>
      </c>
      <c r="C819" s="1052">
        <v>43356</v>
      </c>
      <c r="D819" s="1053">
        <v>592.97</v>
      </c>
    </row>
    <row r="820" spans="1:4">
      <c r="A820" s="1046" t="s">
        <v>1013</v>
      </c>
      <c r="B820" s="1047" t="s">
        <v>1169</v>
      </c>
      <c r="C820" s="1048">
        <v>43356</v>
      </c>
      <c r="D820" s="1049">
        <v>1786.4929999999999</v>
      </c>
    </row>
    <row r="821" spans="1:4">
      <c r="A821" s="1046" t="s">
        <v>1236</v>
      </c>
      <c r="B821" s="1047" t="s">
        <v>800</v>
      </c>
      <c r="C821" s="1048">
        <v>43357</v>
      </c>
      <c r="D821" s="1049">
        <v>5711.1409999999996</v>
      </c>
    </row>
    <row r="822" spans="1:4">
      <c r="A822" s="1046" t="s">
        <v>780</v>
      </c>
      <c r="B822" s="1047" t="s">
        <v>779</v>
      </c>
      <c r="C822" s="1048">
        <v>43358</v>
      </c>
      <c r="D822" s="1049">
        <v>262.07400000000001</v>
      </c>
    </row>
    <row r="823" spans="1:4">
      <c r="A823" s="1050" t="s">
        <v>1116</v>
      </c>
      <c r="B823" s="1051" t="s">
        <v>1115</v>
      </c>
      <c r="C823" s="1052">
        <v>43358</v>
      </c>
      <c r="D823" s="1053">
        <v>1200</v>
      </c>
    </row>
    <row r="824" spans="1:4">
      <c r="A824" s="1046" t="s">
        <v>778</v>
      </c>
      <c r="B824" s="1047" t="s">
        <v>777</v>
      </c>
      <c r="C824" s="1048">
        <v>43358</v>
      </c>
      <c r="D824" s="1049">
        <v>1067.931</v>
      </c>
    </row>
    <row r="825" spans="1:4">
      <c r="A825" s="1050" t="s">
        <v>502</v>
      </c>
      <c r="B825" s="1051" t="s">
        <v>501</v>
      </c>
      <c r="C825" s="1052">
        <v>43358</v>
      </c>
      <c r="D825" s="1053">
        <v>4037.26</v>
      </c>
    </row>
    <row r="826" spans="1:4">
      <c r="A826" s="1050" t="s">
        <v>503</v>
      </c>
      <c r="B826" s="1051" t="s">
        <v>501</v>
      </c>
      <c r="C826" s="1052">
        <v>43358</v>
      </c>
      <c r="D826" s="1053">
        <v>3500</v>
      </c>
    </row>
    <row r="827" spans="1:4">
      <c r="A827" s="1050" t="s">
        <v>494</v>
      </c>
      <c r="B827" s="1051" t="s">
        <v>776</v>
      </c>
      <c r="C827" s="1052">
        <v>43358</v>
      </c>
      <c r="D827" s="1053">
        <v>676.07</v>
      </c>
    </row>
    <row r="828" spans="1:4">
      <c r="A828" s="1050" t="s">
        <v>985</v>
      </c>
      <c r="B828" s="1051" t="s">
        <v>774</v>
      </c>
      <c r="C828" s="1052">
        <v>43358</v>
      </c>
      <c r="D828" s="1053">
        <v>998.27</v>
      </c>
    </row>
    <row r="829" spans="1:4">
      <c r="A829" s="1046" t="s">
        <v>1230</v>
      </c>
      <c r="B829" s="1047" t="s">
        <v>1229</v>
      </c>
      <c r="C829" s="1048">
        <v>43358</v>
      </c>
      <c r="D829" s="1049">
        <v>513.84699999999998</v>
      </c>
    </row>
    <row r="830" spans="1:4">
      <c r="A830" s="1046" t="s">
        <v>1226</v>
      </c>
      <c r="B830" s="1047" t="s">
        <v>1225</v>
      </c>
      <c r="C830" s="1048">
        <v>43358</v>
      </c>
      <c r="D830" s="1049">
        <v>2495.5</v>
      </c>
    </row>
    <row r="831" spans="1:4">
      <c r="A831" s="1050" t="s">
        <v>495</v>
      </c>
      <c r="B831" s="1051" t="s">
        <v>807</v>
      </c>
      <c r="C831" s="1052">
        <v>43358</v>
      </c>
      <c r="D831" s="1053">
        <v>5182.17</v>
      </c>
    </row>
    <row r="832" spans="1:4">
      <c r="A832" s="1050" t="s">
        <v>961</v>
      </c>
      <c r="B832" s="1051" t="s">
        <v>960</v>
      </c>
      <c r="C832" s="1052">
        <v>43358</v>
      </c>
      <c r="D832" s="1053">
        <v>1241.27</v>
      </c>
    </row>
    <row r="833" spans="1:4">
      <c r="A833" s="1046" t="s">
        <v>600</v>
      </c>
      <c r="B833" s="1047" t="s">
        <v>599</v>
      </c>
      <c r="C833" s="1048">
        <v>43358</v>
      </c>
      <c r="D833" s="1049">
        <v>655</v>
      </c>
    </row>
    <row r="834" spans="1:4">
      <c r="A834" s="1050" t="s">
        <v>450</v>
      </c>
      <c r="B834" s="1051" t="s">
        <v>449</v>
      </c>
      <c r="C834" s="1052">
        <v>43358</v>
      </c>
      <c r="D834" s="1053">
        <v>1670.91</v>
      </c>
    </row>
    <row r="835" spans="1:4">
      <c r="A835" s="1050" t="s">
        <v>448</v>
      </c>
      <c r="B835" s="1051" t="s">
        <v>447</v>
      </c>
      <c r="C835" s="1052">
        <v>43358</v>
      </c>
      <c r="D835" s="1053">
        <v>4831.1400000000003</v>
      </c>
    </row>
    <row r="836" spans="1:4">
      <c r="A836" s="1046" t="s">
        <v>1003</v>
      </c>
      <c r="B836" s="1047" t="s">
        <v>1165</v>
      </c>
      <c r="C836" s="1048">
        <v>43358</v>
      </c>
      <c r="D836" s="1049">
        <v>1191.508</v>
      </c>
    </row>
    <row r="837" spans="1:4">
      <c r="A837" s="1046" t="s">
        <v>766</v>
      </c>
      <c r="B837" s="1047" t="s">
        <v>1164</v>
      </c>
      <c r="C837" s="1048">
        <v>43358</v>
      </c>
      <c r="D837" s="1049">
        <v>551.154</v>
      </c>
    </row>
    <row r="838" spans="1:4">
      <c r="A838" s="1050" t="s">
        <v>671</v>
      </c>
      <c r="B838" s="1051" t="s">
        <v>670</v>
      </c>
      <c r="C838" s="1052">
        <v>43358</v>
      </c>
      <c r="D838" s="1053">
        <v>1000</v>
      </c>
    </row>
    <row r="839" spans="1:4">
      <c r="A839" s="1050" t="s">
        <v>493</v>
      </c>
      <c r="B839" s="1051" t="s">
        <v>492</v>
      </c>
      <c r="C839" s="1052">
        <v>43358</v>
      </c>
      <c r="D839" s="1053">
        <v>2063.41</v>
      </c>
    </row>
    <row r="840" spans="1:4">
      <c r="A840" s="1050" t="s">
        <v>491</v>
      </c>
      <c r="B840" s="1051" t="s">
        <v>490</v>
      </c>
      <c r="C840" s="1052">
        <v>43358</v>
      </c>
      <c r="D840" s="1053">
        <v>2759.39</v>
      </c>
    </row>
    <row r="841" spans="1:4">
      <c r="A841" s="1046" t="s">
        <v>855</v>
      </c>
      <c r="B841" s="1047" t="s">
        <v>1140</v>
      </c>
      <c r="C841" s="1048">
        <v>43358</v>
      </c>
      <c r="D841" s="1049">
        <v>1331.8309999999999</v>
      </c>
    </row>
    <row r="842" spans="1:4">
      <c r="A842" s="1050" t="s">
        <v>386</v>
      </c>
      <c r="B842" s="1051" t="s">
        <v>594</v>
      </c>
      <c r="C842" s="1052">
        <v>43358</v>
      </c>
      <c r="D842" s="1053">
        <v>1086.23</v>
      </c>
    </row>
    <row r="843" spans="1:4">
      <c r="A843" s="1050" t="s">
        <v>667</v>
      </c>
      <c r="B843" s="1051" t="s">
        <v>666</v>
      </c>
      <c r="C843" s="1052">
        <v>43358</v>
      </c>
      <c r="D843" s="1053">
        <v>400</v>
      </c>
    </row>
    <row r="844" spans="1:4">
      <c r="A844" s="1050" t="s">
        <v>422</v>
      </c>
      <c r="B844" s="1051" t="s">
        <v>899</v>
      </c>
      <c r="C844" s="1052">
        <v>43358</v>
      </c>
      <c r="D844" s="1053">
        <v>693</v>
      </c>
    </row>
    <row r="845" spans="1:4">
      <c r="A845" s="1050" t="s">
        <v>420</v>
      </c>
      <c r="B845" s="1051" t="s">
        <v>478</v>
      </c>
      <c r="C845" s="1052">
        <v>43358</v>
      </c>
      <c r="D845" s="1053">
        <v>1600</v>
      </c>
    </row>
    <row r="846" spans="1:4">
      <c r="A846" s="1050" t="s">
        <v>420</v>
      </c>
      <c r="B846" s="1051" t="s">
        <v>478</v>
      </c>
      <c r="C846" s="1052">
        <v>43358</v>
      </c>
      <c r="D846" s="1053">
        <v>2000</v>
      </c>
    </row>
    <row r="847" spans="1:4">
      <c r="A847" s="1050" t="s">
        <v>363</v>
      </c>
      <c r="B847" s="1051" t="s">
        <v>362</v>
      </c>
      <c r="C847" s="1052">
        <v>43358</v>
      </c>
      <c r="D847" s="1053">
        <v>2380</v>
      </c>
    </row>
    <row r="848" spans="1:4">
      <c r="A848" s="1046" t="s">
        <v>722</v>
      </c>
      <c r="B848" s="1047" t="s">
        <v>721</v>
      </c>
      <c r="C848" s="1048">
        <v>43358</v>
      </c>
      <c r="D848" s="1049">
        <v>2500</v>
      </c>
    </row>
    <row r="849" spans="1:4">
      <c r="A849" s="1050" t="s">
        <v>498</v>
      </c>
      <c r="B849" s="1051" t="s">
        <v>654</v>
      </c>
      <c r="C849" s="1052">
        <v>43358</v>
      </c>
      <c r="D849" s="1053">
        <v>577.16</v>
      </c>
    </row>
    <row r="850" spans="1:4">
      <c r="A850" s="1050" t="s">
        <v>468</v>
      </c>
      <c r="B850" s="1051" t="s">
        <v>709</v>
      </c>
      <c r="C850" s="1052">
        <v>43358</v>
      </c>
      <c r="D850" s="1053">
        <v>2000</v>
      </c>
    </row>
    <row r="851" spans="1:4">
      <c r="A851" s="1046" t="s">
        <v>1180</v>
      </c>
      <c r="B851" s="1047" t="s">
        <v>952</v>
      </c>
      <c r="C851" s="1048">
        <v>43358</v>
      </c>
      <c r="D851" s="1049">
        <v>2590.855</v>
      </c>
    </row>
    <row r="852" spans="1:4">
      <c r="A852" s="1050" t="s">
        <v>500</v>
      </c>
      <c r="B852" s="1051" t="s">
        <v>783</v>
      </c>
      <c r="C852" s="1052">
        <v>43358</v>
      </c>
      <c r="D852" s="1053">
        <v>918.85</v>
      </c>
    </row>
    <row r="853" spans="1:4">
      <c r="A853" s="1046" t="s">
        <v>758</v>
      </c>
      <c r="B853" s="1047" t="s">
        <v>757</v>
      </c>
      <c r="C853" s="1048">
        <v>43358</v>
      </c>
      <c r="D853" s="1049">
        <v>1721.3019999999999</v>
      </c>
    </row>
    <row r="854" spans="1:4">
      <c r="A854" s="1050" t="s">
        <v>496</v>
      </c>
      <c r="B854" s="1051" t="s">
        <v>789</v>
      </c>
      <c r="C854" s="1052">
        <v>43358</v>
      </c>
      <c r="D854" s="1053">
        <v>1000</v>
      </c>
    </row>
    <row r="855" spans="1:4">
      <c r="A855" s="1050" t="s">
        <v>517</v>
      </c>
      <c r="B855" s="1051" t="s">
        <v>516</v>
      </c>
      <c r="C855" s="1052">
        <v>43358</v>
      </c>
      <c r="D855" s="1053">
        <v>660</v>
      </c>
    </row>
    <row r="856" spans="1:4">
      <c r="A856" s="1050" t="s">
        <v>480</v>
      </c>
      <c r="B856" s="1051" t="s">
        <v>479</v>
      </c>
      <c r="C856" s="1052">
        <v>43358</v>
      </c>
      <c r="D856" s="1053">
        <v>2478</v>
      </c>
    </row>
    <row r="857" spans="1:4">
      <c r="A857" s="1050" t="s">
        <v>745</v>
      </c>
      <c r="B857" s="1051" t="s">
        <v>744</v>
      </c>
      <c r="C857" s="1052">
        <v>43359</v>
      </c>
      <c r="D857" s="1053">
        <v>670</v>
      </c>
    </row>
    <row r="858" spans="1:4">
      <c r="A858" s="1046" t="s">
        <v>1009</v>
      </c>
      <c r="B858" s="1047" t="s">
        <v>1008</v>
      </c>
      <c r="C858" s="1048">
        <v>43360</v>
      </c>
      <c r="D858" s="1049">
        <v>420</v>
      </c>
    </row>
    <row r="859" spans="1:4">
      <c r="A859" s="1046" t="s">
        <v>566</v>
      </c>
      <c r="B859" s="1047" t="s">
        <v>1168</v>
      </c>
      <c r="C859" s="1048">
        <v>43360</v>
      </c>
      <c r="D859" s="1049">
        <v>3000</v>
      </c>
    </row>
    <row r="860" spans="1:4">
      <c r="A860" s="1050" t="s">
        <v>405</v>
      </c>
      <c r="B860" s="1051" t="s">
        <v>404</v>
      </c>
      <c r="C860" s="1052">
        <v>43361</v>
      </c>
      <c r="D860" s="1053">
        <v>893.02</v>
      </c>
    </row>
    <row r="861" spans="1:4">
      <c r="A861" s="1050" t="s">
        <v>400</v>
      </c>
      <c r="B861" s="1051" t="s">
        <v>399</v>
      </c>
      <c r="C861" s="1052">
        <v>43361</v>
      </c>
      <c r="D861" s="1053">
        <v>2000</v>
      </c>
    </row>
    <row r="862" spans="1:4">
      <c r="A862" s="1050" t="s">
        <v>489</v>
      </c>
      <c r="B862" s="1051" t="s">
        <v>488</v>
      </c>
      <c r="C862" s="1052">
        <v>43361</v>
      </c>
      <c r="D862" s="1053">
        <v>634.80999999999995</v>
      </c>
    </row>
    <row r="863" spans="1:4">
      <c r="A863" s="1050" t="s">
        <v>396</v>
      </c>
      <c r="B863" s="1051" t="s">
        <v>395</v>
      </c>
      <c r="C863" s="1052">
        <v>43361</v>
      </c>
      <c r="D863" s="1053">
        <v>720.12</v>
      </c>
    </row>
    <row r="864" spans="1:4">
      <c r="A864" s="1050" t="s">
        <v>444</v>
      </c>
      <c r="B864" s="1051" t="s">
        <v>443</v>
      </c>
      <c r="C864" s="1052">
        <v>43362</v>
      </c>
      <c r="D864" s="1053">
        <v>1500</v>
      </c>
    </row>
    <row r="865" spans="1:4">
      <c r="A865" s="1050" t="s">
        <v>398</v>
      </c>
      <c r="B865" s="1051" t="s">
        <v>397</v>
      </c>
      <c r="C865" s="1052">
        <v>43363</v>
      </c>
      <c r="D865" s="1053">
        <v>439</v>
      </c>
    </row>
    <row r="866" spans="1:4">
      <c r="A866" s="1046" t="s">
        <v>1204</v>
      </c>
      <c r="B866" s="1047" t="s">
        <v>700</v>
      </c>
      <c r="C866" s="1048">
        <v>43363</v>
      </c>
      <c r="D866" s="1049">
        <v>390.79599999999999</v>
      </c>
    </row>
    <row r="867" spans="1:4">
      <c r="A867" s="1046" t="s">
        <v>1028</v>
      </c>
      <c r="B867" s="1047" t="s">
        <v>1027</v>
      </c>
      <c r="C867" s="1048">
        <v>43363</v>
      </c>
      <c r="D867" s="1049">
        <v>537.35</v>
      </c>
    </row>
    <row r="868" spans="1:4">
      <c r="A868" s="1050" t="s">
        <v>384</v>
      </c>
      <c r="B868" s="1051" t="s">
        <v>455</v>
      </c>
      <c r="C868" s="1052">
        <v>43363</v>
      </c>
      <c r="D868" s="1053">
        <v>500</v>
      </c>
    </row>
    <row r="869" spans="1:4">
      <c r="A869" s="1050" t="s">
        <v>481</v>
      </c>
      <c r="B869" s="1051" t="s">
        <v>455</v>
      </c>
      <c r="C869" s="1052">
        <v>43363</v>
      </c>
      <c r="D869" s="1053">
        <v>740</v>
      </c>
    </row>
    <row r="870" spans="1:4">
      <c r="A870" s="1050" t="s">
        <v>384</v>
      </c>
      <c r="B870" s="1051" t="s">
        <v>455</v>
      </c>
      <c r="C870" s="1052">
        <v>43363</v>
      </c>
      <c r="D870" s="1053">
        <v>450</v>
      </c>
    </row>
    <row r="871" spans="1:4">
      <c r="A871" s="1050" t="s">
        <v>361</v>
      </c>
      <c r="B871" s="1051" t="s">
        <v>360</v>
      </c>
      <c r="C871" s="1052">
        <v>43363</v>
      </c>
      <c r="D871" s="1053">
        <v>1703.2</v>
      </c>
    </row>
    <row r="872" spans="1:4">
      <c r="A872" s="1046" t="s">
        <v>600</v>
      </c>
      <c r="B872" s="1047" t="s">
        <v>599</v>
      </c>
      <c r="C872" s="1048">
        <v>43363</v>
      </c>
      <c r="D872" s="1049">
        <v>655</v>
      </c>
    </row>
    <row r="873" spans="1:4">
      <c r="A873" s="1046" t="s">
        <v>540</v>
      </c>
      <c r="B873" s="1047" t="s">
        <v>539</v>
      </c>
      <c r="C873" s="1048">
        <v>43363</v>
      </c>
      <c r="D873" s="1049">
        <v>900</v>
      </c>
    </row>
    <row r="874" spans="1:4">
      <c r="A874" s="1050" t="s">
        <v>415</v>
      </c>
      <c r="B874" s="1051" t="s">
        <v>414</v>
      </c>
      <c r="C874" s="1052">
        <v>43363</v>
      </c>
      <c r="D874" s="1053">
        <v>2000</v>
      </c>
    </row>
    <row r="875" spans="1:4">
      <c r="A875" s="1050" t="s">
        <v>485</v>
      </c>
      <c r="B875" s="1051" t="s">
        <v>484</v>
      </c>
      <c r="C875" s="1052">
        <v>43363</v>
      </c>
      <c r="D875" s="1053">
        <v>2601.84</v>
      </c>
    </row>
    <row r="876" spans="1:4">
      <c r="A876" s="1046" t="s">
        <v>857</v>
      </c>
      <c r="B876" s="1047" t="s">
        <v>856</v>
      </c>
      <c r="C876" s="1048">
        <v>43363</v>
      </c>
      <c r="D876" s="1049">
        <v>1972.1189999999999</v>
      </c>
    </row>
    <row r="877" spans="1:4">
      <c r="A877" s="1050" t="s">
        <v>1121</v>
      </c>
      <c r="B877" s="1051" t="s">
        <v>1120</v>
      </c>
      <c r="C877" s="1052">
        <v>43363</v>
      </c>
      <c r="D877" s="1053">
        <v>1395.86</v>
      </c>
    </row>
    <row r="878" spans="1:4">
      <c r="A878" s="1050" t="s">
        <v>747</v>
      </c>
      <c r="B878" s="1051" t="s">
        <v>746</v>
      </c>
      <c r="C878" s="1052">
        <v>43363</v>
      </c>
      <c r="D878" s="1053">
        <v>2200</v>
      </c>
    </row>
    <row r="879" spans="1:4">
      <c r="A879" s="1050" t="s">
        <v>487</v>
      </c>
      <c r="B879" s="1051" t="s">
        <v>486</v>
      </c>
      <c r="C879" s="1052">
        <v>43363</v>
      </c>
      <c r="D879" s="1053">
        <v>3116.05</v>
      </c>
    </row>
    <row r="880" spans="1:4">
      <c r="A880" s="1050" t="s">
        <v>420</v>
      </c>
      <c r="B880" s="1051" t="s">
        <v>478</v>
      </c>
      <c r="C880" s="1052">
        <v>43363</v>
      </c>
      <c r="D880" s="1053">
        <v>2000</v>
      </c>
    </row>
    <row r="881" spans="1:4">
      <c r="A881" s="1050" t="s">
        <v>657</v>
      </c>
      <c r="B881" s="1051" t="s">
        <v>656</v>
      </c>
      <c r="C881" s="1052">
        <v>43363</v>
      </c>
      <c r="D881" s="1053">
        <v>1200</v>
      </c>
    </row>
    <row r="882" spans="1:4">
      <c r="A882" s="1050" t="s">
        <v>470</v>
      </c>
      <c r="B882" s="1051" t="s">
        <v>469</v>
      </c>
      <c r="C882" s="1052">
        <v>43363</v>
      </c>
      <c r="D882" s="1053">
        <v>592.97</v>
      </c>
    </row>
    <row r="883" spans="1:4">
      <c r="A883" s="1046" t="s">
        <v>722</v>
      </c>
      <c r="B883" s="1047" t="s">
        <v>721</v>
      </c>
      <c r="C883" s="1048">
        <v>43363</v>
      </c>
      <c r="D883" s="1049">
        <v>2500</v>
      </c>
    </row>
    <row r="884" spans="1:4">
      <c r="A884" s="1050" t="s">
        <v>438</v>
      </c>
      <c r="B884" s="1051" t="s">
        <v>437</v>
      </c>
      <c r="C884" s="1052">
        <v>43363</v>
      </c>
      <c r="D884" s="1053">
        <v>800</v>
      </c>
    </row>
    <row r="885" spans="1:4">
      <c r="A885" s="1050" t="s">
        <v>517</v>
      </c>
      <c r="B885" s="1051" t="s">
        <v>516</v>
      </c>
      <c r="C885" s="1052">
        <v>43363</v>
      </c>
      <c r="D885" s="1053">
        <v>670</v>
      </c>
    </row>
    <row r="886" spans="1:4">
      <c r="A886" s="1050" t="s">
        <v>483</v>
      </c>
      <c r="B886" s="1051" t="s">
        <v>482</v>
      </c>
      <c r="C886" s="1052">
        <v>43364</v>
      </c>
      <c r="D886" s="1053">
        <v>728.64</v>
      </c>
    </row>
    <row r="887" spans="1:4">
      <c r="A887" s="1050" t="s">
        <v>458</v>
      </c>
      <c r="B887" s="1051" t="s">
        <v>457</v>
      </c>
      <c r="C887" s="1052">
        <v>43364</v>
      </c>
      <c r="D887" s="1053">
        <v>963</v>
      </c>
    </row>
    <row r="888" spans="1:4">
      <c r="A888" s="1050" t="s">
        <v>383</v>
      </c>
      <c r="B888" s="1051" t="s">
        <v>379</v>
      </c>
      <c r="C888" s="1052">
        <v>43364</v>
      </c>
      <c r="D888" s="1053">
        <v>600</v>
      </c>
    </row>
    <row r="889" spans="1:4">
      <c r="A889" s="1050" t="s">
        <v>1118</v>
      </c>
      <c r="B889" s="1051" t="s">
        <v>1047</v>
      </c>
      <c r="C889" s="1052">
        <v>43365</v>
      </c>
      <c r="D889" s="1053">
        <v>5069.12</v>
      </c>
    </row>
    <row r="890" spans="1:4">
      <c r="A890" s="1050" t="s">
        <v>456</v>
      </c>
      <c r="B890" s="1051" t="s">
        <v>378</v>
      </c>
      <c r="C890" s="1052">
        <v>43365</v>
      </c>
      <c r="D890" s="1053">
        <v>900</v>
      </c>
    </row>
    <row r="891" spans="1:4">
      <c r="A891" s="1050" t="s">
        <v>481</v>
      </c>
      <c r="B891" s="1051" t="s">
        <v>455</v>
      </c>
      <c r="C891" s="1052">
        <v>43365</v>
      </c>
      <c r="D891" s="1053">
        <v>545</v>
      </c>
    </row>
    <row r="892" spans="1:4">
      <c r="A892" s="1050" t="s">
        <v>468</v>
      </c>
      <c r="B892" s="1051" t="s">
        <v>709</v>
      </c>
      <c r="C892" s="1052">
        <v>43365</v>
      </c>
      <c r="D892" s="1053">
        <v>2000</v>
      </c>
    </row>
    <row r="893" spans="1:4">
      <c r="A893" s="1050" t="s">
        <v>480</v>
      </c>
      <c r="B893" s="1051" t="s">
        <v>479</v>
      </c>
      <c r="C893" s="1052">
        <v>43365</v>
      </c>
      <c r="D893" s="1053">
        <v>2250</v>
      </c>
    </row>
    <row r="894" spans="1:4">
      <c r="A894" s="1050" t="s">
        <v>458</v>
      </c>
      <c r="B894" s="1051" t="s">
        <v>457</v>
      </c>
      <c r="C894" s="1052">
        <v>43366</v>
      </c>
      <c r="D894" s="1053">
        <v>963</v>
      </c>
    </row>
    <row r="895" spans="1:4">
      <c r="A895" s="1050" t="s">
        <v>367</v>
      </c>
      <c r="B895" s="1051" t="s">
        <v>366</v>
      </c>
      <c r="C895" s="1052">
        <v>43366</v>
      </c>
      <c r="D895" s="1053">
        <v>10000</v>
      </c>
    </row>
    <row r="896" spans="1:4">
      <c r="A896" s="1050" t="s">
        <v>382</v>
      </c>
      <c r="B896" s="1051" t="s">
        <v>381</v>
      </c>
      <c r="C896" s="1052">
        <v>43366</v>
      </c>
      <c r="D896" s="1053">
        <v>1471.23</v>
      </c>
    </row>
    <row r="897" spans="1:4">
      <c r="A897" s="1050" t="s">
        <v>363</v>
      </c>
      <c r="B897" s="1051" t="s">
        <v>362</v>
      </c>
      <c r="C897" s="1052">
        <v>43366</v>
      </c>
      <c r="D897" s="1053">
        <v>2380</v>
      </c>
    </row>
    <row r="898" spans="1:4">
      <c r="A898" s="1050" t="s">
        <v>745</v>
      </c>
      <c r="B898" s="1051" t="s">
        <v>744</v>
      </c>
      <c r="C898" s="1052">
        <v>43366</v>
      </c>
      <c r="D898" s="1053">
        <v>670</v>
      </c>
    </row>
    <row r="899" spans="1:4">
      <c r="A899" s="1050" t="s">
        <v>405</v>
      </c>
      <c r="B899" s="1051" t="s">
        <v>404</v>
      </c>
      <c r="C899" s="1052">
        <v>43367</v>
      </c>
      <c r="D899" s="1053">
        <v>893.02</v>
      </c>
    </row>
    <row r="900" spans="1:4">
      <c r="A900" s="1046" t="s">
        <v>1009</v>
      </c>
      <c r="B900" s="1047" t="s">
        <v>1008</v>
      </c>
      <c r="C900" s="1048">
        <v>43367</v>
      </c>
      <c r="D900" s="1049">
        <v>424.48</v>
      </c>
    </row>
    <row r="901" spans="1:4">
      <c r="A901" s="1050" t="s">
        <v>538</v>
      </c>
      <c r="B901" s="1051" t="s">
        <v>537</v>
      </c>
      <c r="C901" s="1052">
        <v>43367</v>
      </c>
      <c r="D901" s="1053">
        <v>2480</v>
      </c>
    </row>
    <row r="902" spans="1:4">
      <c r="A902" s="1050" t="s">
        <v>1119</v>
      </c>
      <c r="B902" s="1051" t="s">
        <v>731</v>
      </c>
      <c r="C902" s="1052">
        <v>43367</v>
      </c>
      <c r="D902" s="1053">
        <v>573.80999999999995</v>
      </c>
    </row>
    <row r="903" spans="1:4">
      <c r="A903" s="1050" t="s">
        <v>470</v>
      </c>
      <c r="B903" s="1051" t="s">
        <v>469</v>
      </c>
      <c r="C903" s="1052">
        <v>43367</v>
      </c>
      <c r="D903" s="1053">
        <v>592.97</v>
      </c>
    </row>
    <row r="904" spans="1:4">
      <c r="A904" s="1050" t="s">
        <v>465</v>
      </c>
      <c r="B904" s="1051" t="s">
        <v>464</v>
      </c>
      <c r="C904" s="1052">
        <v>43368</v>
      </c>
      <c r="D904" s="1053">
        <v>1373.99</v>
      </c>
    </row>
    <row r="905" spans="1:4">
      <c r="A905" s="1050" t="s">
        <v>477</v>
      </c>
      <c r="B905" s="1051" t="s">
        <v>723</v>
      </c>
      <c r="C905" s="1052">
        <v>43368</v>
      </c>
      <c r="D905" s="1053">
        <v>2278.35</v>
      </c>
    </row>
    <row r="906" spans="1:4">
      <c r="A906" s="1050" t="s">
        <v>458</v>
      </c>
      <c r="B906" s="1051" t="s">
        <v>457</v>
      </c>
      <c r="C906" s="1052">
        <v>43368</v>
      </c>
      <c r="D906" s="1053">
        <v>963</v>
      </c>
    </row>
    <row r="907" spans="1:4">
      <c r="A907" s="1046" t="s">
        <v>609</v>
      </c>
      <c r="B907" s="1047" t="s">
        <v>1185</v>
      </c>
      <c r="C907" s="1048">
        <v>43368</v>
      </c>
      <c r="D907" s="1049">
        <v>263.44099999999997</v>
      </c>
    </row>
    <row r="908" spans="1:4">
      <c r="A908" s="1050" t="s">
        <v>384</v>
      </c>
      <c r="B908" s="1051" t="s">
        <v>455</v>
      </c>
      <c r="C908" s="1052">
        <v>43368</v>
      </c>
      <c r="D908" s="1053">
        <v>950</v>
      </c>
    </row>
    <row r="909" spans="1:4">
      <c r="A909" s="1046" t="s">
        <v>713</v>
      </c>
      <c r="B909" s="1047" t="s">
        <v>712</v>
      </c>
      <c r="C909" s="1048">
        <v>43368</v>
      </c>
      <c r="D909" s="1049">
        <v>1015</v>
      </c>
    </row>
    <row r="910" spans="1:4">
      <c r="A910" s="1050" t="s">
        <v>452</v>
      </c>
      <c r="B910" s="1051" t="s">
        <v>451</v>
      </c>
      <c r="C910" s="1052">
        <v>43368</v>
      </c>
      <c r="D910" s="1053">
        <v>2752.04</v>
      </c>
    </row>
    <row r="911" spans="1:4">
      <c r="A911" s="1046" t="s">
        <v>600</v>
      </c>
      <c r="B911" s="1047" t="s">
        <v>599</v>
      </c>
      <c r="C911" s="1048">
        <v>43368</v>
      </c>
      <c r="D911" s="1049">
        <v>655</v>
      </c>
    </row>
    <row r="912" spans="1:4">
      <c r="A912" s="1046" t="s">
        <v>661</v>
      </c>
      <c r="B912" s="1047" t="s">
        <v>1153</v>
      </c>
      <c r="C912" s="1048">
        <v>43368</v>
      </c>
      <c r="D912" s="1049">
        <v>605.98299999999995</v>
      </c>
    </row>
    <row r="913" spans="1:4">
      <c r="A913" s="1050" t="s">
        <v>420</v>
      </c>
      <c r="B913" s="1051" t="s">
        <v>478</v>
      </c>
      <c r="C913" s="1052">
        <v>43368</v>
      </c>
      <c r="D913" s="1053">
        <v>2000</v>
      </c>
    </row>
    <row r="914" spans="1:4">
      <c r="A914" s="1050" t="s">
        <v>420</v>
      </c>
      <c r="B914" s="1051" t="s">
        <v>478</v>
      </c>
      <c r="C914" s="1052">
        <v>43368</v>
      </c>
      <c r="D914" s="1053">
        <v>1882.85</v>
      </c>
    </row>
    <row r="915" spans="1:4">
      <c r="A915" s="1046" t="s">
        <v>500</v>
      </c>
      <c r="B915" s="1047" t="s">
        <v>499</v>
      </c>
      <c r="C915" s="1048">
        <v>43368</v>
      </c>
      <c r="D915" s="1049">
        <v>2260</v>
      </c>
    </row>
    <row r="916" spans="1:4">
      <c r="A916" s="1050" t="s">
        <v>517</v>
      </c>
      <c r="B916" s="1051" t="s">
        <v>516</v>
      </c>
      <c r="C916" s="1052">
        <v>43368</v>
      </c>
      <c r="D916" s="1053">
        <v>675</v>
      </c>
    </row>
    <row r="917" spans="1:4">
      <c r="A917" s="1050" t="s">
        <v>476</v>
      </c>
      <c r="B917" s="1051" t="s">
        <v>475</v>
      </c>
      <c r="C917" s="1052">
        <v>43369</v>
      </c>
      <c r="D917" s="1053">
        <v>2027.8</v>
      </c>
    </row>
    <row r="918" spans="1:4">
      <c r="A918" s="1050" t="s">
        <v>417</v>
      </c>
      <c r="B918" s="1051" t="s">
        <v>416</v>
      </c>
      <c r="C918" s="1052">
        <v>43369</v>
      </c>
      <c r="D918" s="1053">
        <v>1400</v>
      </c>
    </row>
    <row r="919" spans="1:4">
      <c r="A919" s="1046" t="s">
        <v>730</v>
      </c>
      <c r="B919" s="1047" t="s">
        <v>729</v>
      </c>
      <c r="C919" s="1048">
        <v>43369</v>
      </c>
      <c r="D919" s="1049">
        <v>654.35400000000004</v>
      </c>
    </row>
    <row r="920" spans="1:4">
      <c r="A920" s="1050" t="s">
        <v>474</v>
      </c>
      <c r="B920" s="1051" t="s">
        <v>473</v>
      </c>
      <c r="C920" s="1052">
        <v>43370</v>
      </c>
      <c r="D920" s="1053">
        <v>928.93</v>
      </c>
    </row>
    <row r="921" spans="1:4">
      <c r="A921" s="1050" t="s">
        <v>403</v>
      </c>
      <c r="B921" s="1051" t="s">
        <v>393</v>
      </c>
      <c r="C921" s="1052">
        <v>43370</v>
      </c>
      <c r="D921" s="1053">
        <v>4290.1000000000004</v>
      </c>
    </row>
    <row r="922" spans="1:4">
      <c r="A922" s="1050" t="s">
        <v>458</v>
      </c>
      <c r="B922" s="1051" t="s">
        <v>457</v>
      </c>
      <c r="C922" s="1052">
        <v>43370</v>
      </c>
      <c r="D922" s="1053">
        <v>963</v>
      </c>
    </row>
    <row r="923" spans="1:4">
      <c r="A923" s="1050" t="s">
        <v>359</v>
      </c>
      <c r="B923" s="1051" t="s">
        <v>358</v>
      </c>
      <c r="C923" s="1052">
        <v>43370</v>
      </c>
      <c r="D923" s="1053">
        <v>7381.11</v>
      </c>
    </row>
    <row r="924" spans="1:4">
      <c r="A924" s="1050" t="s">
        <v>444</v>
      </c>
      <c r="B924" s="1051" t="s">
        <v>443</v>
      </c>
      <c r="C924" s="1052">
        <v>43370</v>
      </c>
      <c r="D924" s="1053">
        <v>1500</v>
      </c>
    </row>
    <row r="925" spans="1:4">
      <c r="A925" s="1050" t="s">
        <v>472</v>
      </c>
      <c r="B925" s="1051" t="s">
        <v>471</v>
      </c>
      <c r="C925" s="1052">
        <v>43371</v>
      </c>
      <c r="D925" s="1053">
        <v>9263.56</v>
      </c>
    </row>
    <row r="926" spans="1:4">
      <c r="A926" s="1050" t="s">
        <v>415</v>
      </c>
      <c r="B926" s="1051" t="s">
        <v>414</v>
      </c>
      <c r="C926" s="1052">
        <v>43371</v>
      </c>
      <c r="D926" s="1053">
        <v>1500</v>
      </c>
    </row>
    <row r="927" spans="1:4">
      <c r="A927" s="1050" t="s">
        <v>470</v>
      </c>
      <c r="B927" s="1051" t="s">
        <v>469</v>
      </c>
      <c r="C927" s="1052">
        <v>43371</v>
      </c>
      <c r="D927" s="1053">
        <v>592.97</v>
      </c>
    </row>
    <row r="928" spans="1:4">
      <c r="A928" s="1050" t="s">
        <v>458</v>
      </c>
      <c r="B928" s="1051" t="s">
        <v>457</v>
      </c>
      <c r="C928" s="1052">
        <v>43372</v>
      </c>
      <c r="D928" s="1053">
        <v>962</v>
      </c>
    </row>
    <row r="929" spans="1:4">
      <c r="A929" s="1046" t="s">
        <v>756</v>
      </c>
      <c r="B929" s="1047" t="s">
        <v>1184</v>
      </c>
      <c r="C929" s="1048">
        <v>43372</v>
      </c>
      <c r="D929" s="1049">
        <v>509.32499999999999</v>
      </c>
    </row>
    <row r="930" spans="1:4">
      <c r="A930" s="1046" t="s">
        <v>975</v>
      </c>
      <c r="B930" s="1047" t="s">
        <v>1189</v>
      </c>
      <c r="C930" s="1048">
        <v>43372</v>
      </c>
      <c r="D930" s="1049">
        <v>1594.07</v>
      </c>
    </row>
    <row r="931" spans="1:4">
      <c r="A931" s="1050" t="s">
        <v>468</v>
      </c>
      <c r="B931" s="1051" t="s">
        <v>709</v>
      </c>
      <c r="C931" s="1052">
        <v>43372</v>
      </c>
      <c r="D931" s="1053">
        <v>2417.17</v>
      </c>
    </row>
    <row r="932" spans="1:4">
      <c r="A932" s="1046" t="s">
        <v>791</v>
      </c>
      <c r="B932" s="1047" t="s">
        <v>1176</v>
      </c>
      <c r="C932" s="1048">
        <v>43372</v>
      </c>
      <c r="D932" s="1049">
        <v>7537.5739999999996</v>
      </c>
    </row>
    <row r="933" spans="1:4">
      <c r="A933" s="1050" t="s">
        <v>429</v>
      </c>
      <c r="B933" s="1051" t="s">
        <v>428</v>
      </c>
      <c r="C933" s="1052">
        <v>43373</v>
      </c>
      <c r="D933" s="1053">
        <v>936</v>
      </c>
    </row>
    <row r="934" spans="1:4">
      <c r="A934" s="1046" t="s">
        <v>1031</v>
      </c>
      <c r="B934" s="1047" t="s">
        <v>622</v>
      </c>
      <c r="C934" s="1048">
        <v>43373</v>
      </c>
      <c r="D934" s="1049">
        <v>687.37900000000002</v>
      </c>
    </row>
    <row r="935" spans="1:4">
      <c r="A935" s="1050" t="s">
        <v>467</v>
      </c>
      <c r="B935" s="1051" t="s">
        <v>466</v>
      </c>
      <c r="C935" s="1052">
        <v>43373</v>
      </c>
      <c r="D935" s="1053">
        <v>7736.46</v>
      </c>
    </row>
    <row r="936" spans="1:4">
      <c r="A936" s="1050" t="s">
        <v>1118</v>
      </c>
      <c r="B936" s="1051" t="s">
        <v>1047</v>
      </c>
      <c r="C936" s="1052">
        <v>43373</v>
      </c>
      <c r="D936" s="1053">
        <v>5069.12</v>
      </c>
    </row>
    <row r="937" spans="1:4">
      <c r="A937" s="1046" t="s">
        <v>576</v>
      </c>
      <c r="B937" s="1047" t="s">
        <v>575</v>
      </c>
      <c r="C937" s="1048">
        <v>43373</v>
      </c>
      <c r="D937" s="1049">
        <v>696.98800000000006</v>
      </c>
    </row>
    <row r="938" spans="1:4">
      <c r="A938" s="1050" t="s">
        <v>465</v>
      </c>
      <c r="B938" s="1051" t="s">
        <v>464</v>
      </c>
      <c r="C938" s="1052">
        <v>43373</v>
      </c>
      <c r="D938" s="1053">
        <v>1373.99</v>
      </c>
    </row>
    <row r="939" spans="1:4">
      <c r="A939" s="1046" t="s">
        <v>1029</v>
      </c>
      <c r="B939" s="1047" t="s">
        <v>876</v>
      </c>
      <c r="C939" s="1048">
        <v>43373</v>
      </c>
      <c r="D939" s="1049">
        <v>632.52599999999995</v>
      </c>
    </row>
    <row r="940" spans="1:4">
      <c r="A940" s="1046" t="s">
        <v>579</v>
      </c>
      <c r="B940" s="1047" t="s">
        <v>578</v>
      </c>
      <c r="C940" s="1048">
        <v>43373</v>
      </c>
      <c r="D940" s="1049">
        <v>1768.7329999999999</v>
      </c>
    </row>
    <row r="941" spans="1:4">
      <c r="A941" s="1050" t="s">
        <v>398</v>
      </c>
      <c r="B941" s="1051" t="s">
        <v>397</v>
      </c>
      <c r="C941" s="1052">
        <v>43373</v>
      </c>
      <c r="D941" s="1053">
        <v>439</v>
      </c>
    </row>
    <row r="942" spans="1:4">
      <c r="A942" s="1046" t="s">
        <v>818</v>
      </c>
      <c r="B942" s="1047" t="s">
        <v>817</v>
      </c>
      <c r="C942" s="1048">
        <v>43373</v>
      </c>
      <c r="D942" s="1049">
        <v>944.69799999999998</v>
      </c>
    </row>
    <row r="943" spans="1:4">
      <c r="A943" s="1046" t="s">
        <v>1204</v>
      </c>
      <c r="B943" s="1047" t="s">
        <v>700</v>
      </c>
      <c r="C943" s="1048">
        <v>43373</v>
      </c>
      <c r="D943" s="1049">
        <v>500</v>
      </c>
    </row>
    <row r="944" spans="1:4">
      <c r="A944" s="1046" t="s">
        <v>699</v>
      </c>
      <c r="B944" s="1047" t="s">
        <v>1209</v>
      </c>
      <c r="C944" s="1048">
        <v>43373</v>
      </c>
      <c r="D944" s="1049">
        <v>1079.097</v>
      </c>
    </row>
    <row r="945" spans="1:4">
      <c r="A945" s="1050" t="s">
        <v>502</v>
      </c>
      <c r="B945" s="1051" t="s">
        <v>501</v>
      </c>
      <c r="C945" s="1052">
        <v>43373</v>
      </c>
      <c r="D945" s="1053">
        <v>5083.7299999999996</v>
      </c>
    </row>
    <row r="946" spans="1:4">
      <c r="A946" s="1046" t="s">
        <v>1203</v>
      </c>
      <c r="B946" s="1047" t="s">
        <v>1202</v>
      </c>
      <c r="C946" s="1048">
        <v>43373</v>
      </c>
      <c r="D946" s="1049">
        <v>6935.2070000000003</v>
      </c>
    </row>
    <row r="947" spans="1:4">
      <c r="A947" s="1050" t="s">
        <v>463</v>
      </c>
      <c r="B947" s="1051" t="s">
        <v>372</v>
      </c>
      <c r="C947" s="1052">
        <v>43373</v>
      </c>
      <c r="D947" s="1053">
        <v>4042.82</v>
      </c>
    </row>
    <row r="948" spans="1:4">
      <c r="A948" s="1050" t="s">
        <v>427</v>
      </c>
      <c r="B948" s="1051" t="s">
        <v>426</v>
      </c>
      <c r="C948" s="1052">
        <v>43373</v>
      </c>
      <c r="D948" s="1053">
        <v>795.34</v>
      </c>
    </row>
    <row r="949" spans="1:4">
      <c r="A949" s="1050" t="s">
        <v>697</v>
      </c>
      <c r="B949" s="1051" t="s">
        <v>696</v>
      </c>
      <c r="C949" s="1052">
        <v>43373</v>
      </c>
      <c r="D949" s="1053">
        <v>643.59</v>
      </c>
    </row>
    <row r="950" spans="1:4">
      <c r="A950" s="1050" t="s">
        <v>369</v>
      </c>
      <c r="B950" s="1051" t="s">
        <v>368</v>
      </c>
      <c r="C950" s="1052">
        <v>43373</v>
      </c>
      <c r="D950" s="1053">
        <v>5846.05</v>
      </c>
    </row>
    <row r="951" spans="1:4">
      <c r="A951" s="1050" t="s">
        <v>462</v>
      </c>
      <c r="B951" s="1051" t="s">
        <v>461</v>
      </c>
      <c r="C951" s="1052">
        <v>43373</v>
      </c>
      <c r="D951" s="1053">
        <v>2891.29</v>
      </c>
    </row>
    <row r="952" spans="1:4">
      <c r="A952" s="1050" t="s">
        <v>434</v>
      </c>
      <c r="B952" s="1051" t="s">
        <v>813</v>
      </c>
      <c r="C952" s="1052">
        <v>43373</v>
      </c>
      <c r="D952" s="1053">
        <v>1426.44</v>
      </c>
    </row>
    <row r="953" spans="1:4">
      <c r="A953" s="1050" t="s">
        <v>388</v>
      </c>
      <c r="B953" s="1051" t="s">
        <v>387</v>
      </c>
      <c r="C953" s="1052">
        <v>43373</v>
      </c>
      <c r="D953" s="1053">
        <v>1456.11</v>
      </c>
    </row>
    <row r="954" spans="1:4">
      <c r="A954" s="1050" t="s">
        <v>460</v>
      </c>
      <c r="B954" s="1051" t="s">
        <v>459</v>
      </c>
      <c r="C954" s="1052">
        <v>43373</v>
      </c>
      <c r="D954" s="1053">
        <v>2025.78</v>
      </c>
    </row>
    <row r="955" spans="1:4">
      <c r="A955" s="1046" t="s">
        <v>1216</v>
      </c>
      <c r="B955" s="1047" t="s">
        <v>1215</v>
      </c>
      <c r="C955" s="1048">
        <v>43373</v>
      </c>
      <c r="D955" s="1049">
        <v>4854.57</v>
      </c>
    </row>
    <row r="956" spans="1:4">
      <c r="A956" s="1050" t="s">
        <v>433</v>
      </c>
      <c r="B956" s="1051" t="s">
        <v>691</v>
      </c>
      <c r="C956" s="1052">
        <v>43373</v>
      </c>
      <c r="D956" s="1053">
        <v>2724.06</v>
      </c>
    </row>
    <row r="957" spans="1:4">
      <c r="A957" s="1046" t="s">
        <v>1226</v>
      </c>
      <c r="B957" s="1047" t="s">
        <v>1225</v>
      </c>
      <c r="C957" s="1048">
        <v>43373</v>
      </c>
      <c r="D957" s="1049">
        <v>2495.989</v>
      </c>
    </row>
    <row r="958" spans="1:4">
      <c r="A958" s="1046" t="s">
        <v>1218</v>
      </c>
      <c r="B958" s="1047" t="s">
        <v>1217</v>
      </c>
      <c r="C958" s="1048">
        <v>43373</v>
      </c>
      <c r="D958" s="1049">
        <v>1371.9369999999999</v>
      </c>
    </row>
    <row r="959" spans="1:4">
      <c r="A959" s="1050" t="s">
        <v>425</v>
      </c>
      <c r="B959" s="1051" t="s">
        <v>612</v>
      </c>
      <c r="C959" s="1052">
        <v>43373</v>
      </c>
      <c r="D959" s="1053">
        <v>2006.91</v>
      </c>
    </row>
    <row r="960" spans="1:4">
      <c r="A960" s="1050" t="s">
        <v>400</v>
      </c>
      <c r="B960" s="1051" t="s">
        <v>399</v>
      </c>
      <c r="C960" s="1052">
        <v>43373</v>
      </c>
      <c r="D960" s="1053">
        <v>2000</v>
      </c>
    </row>
    <row r="961" spans="1:4">
      <c r="A961" s="1050" t="s">
        <v>458</v>
      </c>
      <c r="B961" s="1051" t="s">
        <v>457</v>
      </c>
      <c r="C961" s="1052">
        <v>43373</v>
      </c>
      <c r="D961" s="1053">
        <v>962.36</v>
      </c>
    </row>
    <row r="962" spans="1:4">
      <c r="A962" s="1050" t="s">
        <v>1114</v>
      </c>
      <c r="B962" s="1051" t="s">
        <v>1113</v>
      </c>
      <c r="C962" s="1052">
        <v>43373</v>
      </c>
      <c r="D962" s="1053">
        <v>2500</v>
      </c>
    </row>
    <row r="963" spans="1:4">
      <c r="A963" s="1050" t="s">
        <v>456</v>
      </c>
      <c r="B963" s="1051" t="s">
        <v>378</v>
      </c>
      <c r="C963" s="1052">
        <v>43373</v>
      </c>
      <c r="D963" s="1053">
        <v>932.67</v>
      </c>
    </row>
    <row r="964" spans="1:4">
      <c r="A964" s="1050" t="s">
        <v>432</v>
      </c>
      <c r="B964" s="1051" t="s">
        <v>683</v>
      </c>
      <c r="C964" s="1052">
        <v>43373</v>
      </c>
      <c r="D964" s="1053">
        <v>2812.46</v>
      </c>
    </row>
    <row r="965" spans="1:4">
      <c r="A965" s="1046" t="s">
        <v>1186</v>
      </c>
      <c r="B965" s="1047" t="s">
        <v>865</v>
      </c>
      <c r="C965" s="1048">
        <v>43373</v>
      </c>
      <c r="D965" s="1049">
        <v>1328.7539999999999</v>
      </c>
    </row>
    <row r="966" spans="1:4">
      <c r="A966" s="1050" t="s">
        <v>367</v>
      </c>
      <c r="B966" s="1051" t="s">
        <v>366</v>
      </c>
      <c r="C966" s="1052">
        <v>43373</v>
      </c>
      <c r="D966" s="1053">
        <v>12079.85</v>
      </c>
    </row>
    <row r="967" spans="1:4">
      <c r="A967" s="1046" t="s">
        <v>914</v>
      </c>
      <c r="B967" s="1047" t="s">
        <v>913</v>
      </c>
      <c r="C967" s="1048">
        <v>43373</v>
      </c>
      <c r="D967" s="1049">
        <v>139.30600000000001</v>
      </c>
    </row>
    <row r="968" spans="1:4">
      <c r="A968" s="1046" t="s">
        <v>1200</v>
      </c>
      <c r="B968" s="1047" t="s">
        <v>1199</v>
      </c>
      <c r="C968" s="1048">
        <v>43373</v>
      </c>
      <c r="D968" s="1049">
        <v>914.18100000000004</v>
      </c>
    </row>
    <row r="969" spans="1:4">
      <c r="A969" s="1050" t="s">
        <v>384</v>
      </c>
      <c r="B969" s="1051" t="s">
        <v>455</v>
      </c>
      <c r="C969" s="1052">
        <v>43373</v>
      </c>
      <c r="D969" s="1053">
        <v>500</v>
      </c>
    </row>
    <row r="970" spans="1:4">
      <c r="A970" s="1050" t="s">
        <v>384</v>
      </c>
      <c r="B970" s="1051" t="s">
        <v>455</v>
      </c>
      <c r="C970" s="1052">
        <v>43373</v>
      </c>
      <c r="D970" s="1053">
        <v>600</v>
      </c>
    </row>
    <row r="971" spans="1:4">
      <c r="A971" s="1050" t="s">
        <v>384</v>
      </c>
      <c r="B971" s="1051" t="s">
        <v>455</v>
      </c>
      <c r="C971" s="1052">
        <v>43373</v>
      </c>
      <c r="D971" s="1053">
        <v>425</v>
      </c>
    </row>
    <row r="972" spans="1:4">
      <c r="A972" s="1046" t="s">
        <v>861</v>
      </c>
      <c r="B972" s="1047" t="s">
        <v>605</v>
      </c>
      <c r="C972" s="1048">
        <v>43373</v>
      </c>
      <c r="D972" s="1049">
        <v>4651.8</v>
      </c>
    </row>
    <row r="973" spans="1:4">
      <c r="A973" s="1050" t="s">
        <v>454</v>
      </c>
      <c r="B973" s="1051" t="s">
        <v>453</v>
      </c>
      <c r="C973" s="1052">
        <v>43373</v>
      </c>
      <c r="D973" s="1053">
        <v>2241.66</v>
      </c>
    </row>
    <row r="974" spans="1:4">
      <c r="A974" s="1050" t="s">
        <v>390</v>
      </c>
      <c r="B974" s="1051" t="s">
        <v>389</v>
      </c>
      <c r="C974" s="1052">
        <v>43373</v>
      </c>
      <c r="D974" s="1053">
        <v>2000</v>
      </c>
    </row>
    <row r="975" spans="1:4">
      <c r="A975" s="1050" t="s">
        <v>424</v>
      </c>
      <c r="B975" s="1051" t="s">
        <v>423</v>
      </c>
      <c r="C975" s="1052">
        <v>43373</v>
      </c>
      <c r="D975" s="1053">
        <v>1810.5</v>
      </c>
    </row>
    <row r="976" spans="1:4">
      <c r="A976" s="1050" t="s">
        <v>431</v>
      </c>
      <c r="B976" s="1051" t="s">
        <v>430</v>
      </c>
      <c r="C976" s="1052">
        <v>43373</v>
      </c>
      <c r="D976" s="1053">
        <v>1997.68</v>
      </c>
    </row>
    <row r="977" spans="1:4">
      <c r="A977" s="1046" t="s">
        <v>638</v>
      </c>
      <c r="B977" s="1047" t="s">
        <v>637</v>
      </c>
      <c r="C977" s="1048">
        <v>43373</v>
      </c>
      <c r="D977" s="1049">
        <v>3233.3339999999998</v>
      </c>
    </row>
    <row r="978" spans="1:4">
      <c r="A978" s="1050" t="s">
        <v>452</v>
      </c>
      <c r="B978" s="1051" t="s">
        <v>451</v>
      </c>
      <c r="C978" s="1052">
        <v>43373</v>
      </c>
      <c r="D978" s="1053">
        <v>3000</v>
      </c>
    </row>
    <row r="979" spans="1:4">
      <c r="A979" s="1050" t="s">
        <v>361</v>
      </c>
      <c r="B979" s="1051" t="s">
        <v>360</v>
      </c>
      <c r="C979" s="1052">
        <v>43373</v>
      </c>
      <c r="D979" s="1053">
        <v>930.17</v>
      </c>
    </row>
    <row r="980" spans="1:4">
      <c r="A980" s="1046" t="s">
        <v>600</v>
      </c>
      <c r="B980" s="1047" t="s">
        <v>599</v>
      </c>
      <c r="C980" s="1048">
        <v>43373</v>
      </c>
      <c r="D980" s="1049">
        <v>655</v>
      </c>
    </row>
    <row r="981" spans="1:4">
      <c r="A981" s="1050" t="s">
        <v>450</v>
      </c>
      <c r="B981" s="1051" t="s">
        <v>449</v>
      </c>
      <c r="C981" s="1052">
        <v>43373</v>
      </c>
      <c r="D981" s="1053">
        <v>1392.52</v>
      </c>
    </row>
    <row r="982" spans="1:4">
      <c r="A982" s="1050" t="s">
        <v>448</v>
      </c>
      <c r="B982" s="1051" t="s">
        <v>447</v>
      </c>
      <c r="C982" s="1052">
        <v>43373</v>
      </c>
      <c r="D982" s="1053">
        <v>3536.65</v>
      </c>
    </row>
    <row r="983" spans="1:4">
      <c r="A983" s="1050" t="s">
        <v>446</v>
      </c>
      <c r="B983" s="1051" t="s">
        <v>445</v>
      </c>
      <c r="C983" s="1052">
        <v>43373</v>
      </c>
      <c r="D983" s="1053">
        <v>140.78</v>
      </c>
    </row>
    <row r="984" spans="1:4">
      <c r="A984" s="1046" t="s">
        <v>596</v>
      </c>
      <c r="B984" s="1047" t="s">
        <v>1163</v>
      </c>
      <c r="C984" s="1048">
        <v>43373</v>
      </c>
      <c r="D984" s="1049">
        <v>1440.402</v>
      </c>
    </row>
    <row r="985" spans="1:4">
      <c r="A985" s="1050" t="s">
        <v>667</v>
      </c>
      <c r="B985" s="1051" t="s">
        <v>666</v>
      </c>
      <c r="C985" s="1052">
        <v>43373</v>
      </c>
      <c r="D985" s="1053">
        <v>415.5</v>
      </c>
    </row>
    <row r="986" spans="1:4">
      <c r="A986" s="1050" t="s">
        <v>419</v>
      </c>
      <c r="B986" s="1051" t="s">
        <v>665</v>
      </c>
      <c r="C986" s="1052">
        <v>43373</v>
      </c>
      <c r="D986" s="1053">
        <v>1354.1</v>
      </c>
    </row>
    <row r="987" spans="1:4">
      <c r="A987" s="1050" t="s">
        <v>418</v>
      </c>
      <c r="B987" s="1051" t="s">
        <v>664</v>
      </c>
      <c r="C987" s="1052">
        <v>43373</v>
      </c>
      <c r="D987" s="1053">
        <v>1785.31</v>
      </c>
    </row>
    <row r="988" spans="1:4">
      <c r="A988" s="1050" t="s">
        <v>392</v>
      </c>
      <c r="B988" s="1051" t="s">
        <v>391</v>
      </c>
      <c r="C988" s="1052">
        <v>43373</v>
      </c>
      <c r="D988" s="1053">
        <v>2000</v>
      </c>
    </row>
    <row r="989" spans="1:4">
      <c r="A989" s="1050" t="s">
        <v>377</v>
      </c>
      <c r="B989" s="1051" t="s">
        <v>376</v>
      </c>
      <c r="C989" s="1052">
        <v>43373</v>
      </c>
      <c r="D989" s="1053">
        <v>4029.17</v>
      </c>
    </row>
    <row r="990" spans="1:4">
      <c r="A990" s="1050" t="s">
        <v>422</v>
      </c>
      <c r="B990" s="1051" t="s">
        <v>899</v>
      </c>
      <c r="C990" s="1052">
        <v>43373</v>
      </c>
      <c r="D990" s="1053">
        <v>500.84</v>
      </c>
    </row>
    <row r="991" spans="1:4">
      <c r="A991" s="1050" t="s">
        <v>420</v>
      </c>
      <c r="B991" s="1051" t="s">
        <v>478</v>
      </c>
      <c r="C991" s="1052">
        <v>43373</v>
      </c>
      <c r="D991" s="1053">
        <v>1741.58</v>
      </c>
    </row>
    <row r="992" spans="1:4">
      <c r="A992" s="1050" t="s">
        <v>363</v>
      </c>
      <c r="B992" s="1051" t="s">
        <v>362</v>
      </c>
      <c r="C992" s="1052">
        <v>43373</v>
      </c>
      <c r="D992" s="1053">
        <v>2380</v>
      </c>
    </row>
    <row r="993" spans="1:4">
      <c r="A993" s="1046" t="s">
        <v>1020</v>
      </c>
      <c r="B993" s="1047" t="s">
        <v>1179</v>
      </c>
      <c r="C993" s="1048">
        <v>43373</v>
      </c>
      <c r="D993" s="1049">
        <v>1646.4069999999999</v>
      </c>
    </row>
    <row r="994" spans="1:4">
      <c r="A994" s="1050" t="s">
        <v>444</v>
      </c>
      <c r="B994" s="1051" t="s">
        <v>443</v>
      </c>
      <c r="C994" s="1052">
        <v>43373</v>
      </c>
      <c r="D994" s="1053">
        <v>1500</v>
      </c>
    </row>
    <row r="995" spans="1:4">
      <c r="A995" s="1050" t="s">
        <v>745</v>
      </c>
      <c r="B995" s="1051" t="s">
        <v>744</v>
      </c>
      <c r="C995" s="1052">
        <v>43373</v>
      </c>
      <c r="D995" s="1053">
        <v>686.28</v>
      </c>
    </row>
    <row r="996" spans="1:4">
      <c r="A996" s="1046" t="s">
        <v>589</v>
      </c>
      <c r="B996" s="1047" t="s">
        <v>1178</v>
      </c>
      <c r="C996" s="1048">
        <v>43373</v>
      </c>
      <c r="D996" s="1049">
        <v>698.90700000000004</v>
      </c>
    </row>
    <row r="997" spans="1:4">
      <c r="A997" s="1046" t="s">
        <v>896</v>
      </c>
      <c r="B997" s="1047" t="s">
        <v>1177</v>
      </c>
      <c r="C997" s="1048">
        <v>43373</v>
      </c>
      <c r="D997" s="1049">
        <v>6063.6030000000001</v>
      </c>
    </row>
    <row r="998" spans="1:4">
      <c r="A998" s="1050" t="s">
        <v>442</v>
      </c>
      <c r="B998" s="1051" t="s">
        <v>441</v>
      </c>
      <c r="C998" s="1052">
        <v>43373</v>
      </c>
      <c r="D998" s="1053">
        <v>1232.73</v>
      </c>
    </row>
    <row r="999" spans="1:4">
      <c r="A999" s="1046" t="s">
        <v>895</v>
      </c>
      <c r="B999" s="1047" t="s">
        <v>894</v>
      </c>
      <c r="C999" s="1048">
        <v>43373</v>
      </c>
      <c r="D999" s="1049">
        <v>4125.3</v>
      </c>
    </row>
    <row r="1000" spans="1:4">
      <c r="A1000" s="1046" t="s">
        <v>641</v>
      </c>
      <c r="B1000" s="1047" t="s">
        <v>640</v>
      </c>
      <c r="C1000" s="1048">
        <v>43373</v>
      </c>
      <c r="D1000" s="1049">
        <v>2896.3580000000002</v>
      </c>
    </row>
    <row r="1001" spans="1:4">
      <c r="A1001" s="1046" t="s">
        <v>649</v>
      </c>
      <c r="B1001" s="1047" t="s">
        <v>648</v>
      </c>
      <c r="C1001" s="1048">
        <v>43373</v>
      </c>
      <c r="D1001" s="1049">
        <v>4947.5039999999999</v>
      </c>
    </row>
    <row r="1002" spans="1:4">
      <c r="A1002" s="1050" t="s">
        <v>440</v>
      </c>
      <c r="B1002" s="1051" t="s">
        <v>439</v>
      </c>
      <c r="C1002" s="1052">
        <v>43373</v>
      </c>
      <c r="D1002" s="1053">
        <v>1643.72</v>
      </c>
    </row>
    <row r="1003" spans="1:4">
      <c r="A1003" s="1050" t="s">
        <v>585</v>
      </c>
      <c r="B1003" s="1051" t="s">
        <v>584</v>
      </c>
      <c r="C1003" s="1052">
        <v>43373</v>
      </c>
      <c r="D1003" s="1053">
        <v>1920.64</v>
      </c>
    </row>
    <row r="1004" spans="1:4">
      <c r="A1004" s="1050" t="s">
        <v>438</v>
      </c>
      <c r="B1004" s="1051" t="s">
        <v>437</v>
      </c>
      <c r="C1004" s="1052">
        <v>43373</v>
      </c>
      <c r="D1004" s="1053">
        <v>846.08</v>
      </c>
    </row>
    <row r="1005" spans="1:4">
      <c r="A1005" s="1050" t="s">
        <v>517</v>
      </c>
      <c r="B1005" s="1051" t="s">
        <v>516</v>
      </c>
      <c r="C1005" s="1052">
        <v>43373</v>
      </c>
      <c r="D1005" s="1053">
        <v>655</v>
      </c>
    </row>
    <row r="1006" spans="1:4">
      <c r="A1006" s="1046" t="s">
        <v>1172</v>
      </c>
      <c r="B1006" s="1047" t="s">
        <v>1171</v>
      </c>
      <c r="C1006" s="1048">
        <v>43373</v>
      </c>
      <c r="D1006" s="1049">
        <v>4054.1260000000002</v>
      </c>
    </row>
    <row r="1007" spans="1:4" ht="15.75" thickBot="1">
      <c r="A1007" s="1061" t="s">
        <v>436</v>
      </c>
      <c r="B1007" s="1062" t="s">
        <v>435</v>
      </c>
      <c r="C1007" s="1063">
        <v>43373</v>
      </c>
      <c r="D1007" s="1064">
        <v>4035.72</v>
      </c>
    </row>
    <row r="1008" spans="1:4" s="1044" customFormat="1" ht="15.75" thickBot="1">
      <c r="A1008" s="1069" t="s">
        <v>1321</v>
      </c>
      <c r="B1008" s="1070"/>
      <c r="C1008" s="1070"/>
      <c r="D1008" s="1071">
        <f>SUM(D724:D1007)</f>
        <v>523105.55899999983</v>
      </c>
    </row>
    <row r="1009" spans="1:4">
      <c r="A1009" s="1065" t="s">
        <v>402</v>
      </c>
      <c r="B1009" s="1066" t="s">
        <v>401</v>
      </c>
      <c r="C1009" s="1067">
        <v>43374</v>
      </c>
      <c r="D1009" s="1068">
        <v>537.47</v>
      </c>
    </row>
    <row r="1010" spans="1:4">
      <c r="A1010" s="1050" t="s">
        <v>417</v>
      </c>
      <c r="B1010" s="1051" t="s">
        <v>416</v>
      </c>
      <c r="C1010" s="1052">
        <v>43374</v>
      </c>
      <c r="D1010" s="1053">
        <v>1551.25</v>
      </c>
    </row>
    <row r="1011" spans="1:4">
      <c r="A1011" s="1050" t="s">
        <v>657</v>
      </c>
      <c r="B1011" s="1051" t="s">
        <v>656</v>
      </c>
      <c r="C1011" s="1052">
        <v>43374</v>
      </c>
      <c r="D1011" s="1053">
        <v>1200</v>
      </c>
    </row>
    <row r="1012" spans="1:4">
      <c r="A1012" s="1050" t="s">
        <v>405</v>
      </c>
      <c r="B1012" s="1051" t="s">
        <v>404</v>
      </c>
      <c r="C1012" s="1052">
        <v>43375</v>
      </c>
      <c r="D1012" s="1053">
        <v>893.02</v>
      </c>
    </row>
    <row r="1013" spans="1:4">
      <c r="A1013" s="1046" t="s">
        <v>713</v>
      </c>
      <c r="B1013" s="1047" t="s">
        <v>712</v>
      </c>
      <c r="C1013" s="1048">
        <v>43375</v>
      </c>
      <c r="D1013" s="1049">
        <v>1016.655</v>
      </c>
    </row>
    <row r="1014" spans="1:4">
      <c r="A1014" s="1046" t="s">
        <v>566</v>
      </c>
      <c r="B1014" s="1047" t="s">
        <v>1168</v>
      </c>
      <c r="C1014" s="1048">
        <v>43375</v>
      </c>
      <c r="D1014" s="1049">
        <v>2705.1529999999998</v>
      </c>
    </row>
    <row r="1015" spans="1:4">
      <c r="A1015" s="1050" t="s">
        <v>538</v>
      </c>
      <c r="B1015" s="1051" t="s">
        <v>537</v>
      </c>
      <c r="C1015" s="1052">
        <v>43376</v>
      </c>
      <c r="D1015" s="1053">
        <v>2500</v>
      </c>
    </row>
    <row r="1016" spans="1:4">
      <c r="A1016" s="1046" t="s">
        <v>730</v>
      </c>
      <c r="B1016" s="1047" t="s">
        <v>729</v>
      </c>
      <c r="C1016" s="1048">
        <v>43376</v>
      </c>
      <c r="D1016" s="1049">
        <v>654.35400000000004</v>
      </c>
    </row>
    <row r="1017" spans="1:4">
      <c r="A1017" s="1046" t="s">
        <v>444</v>
      </c>
      <c r="B1017" s="1047" t="s">
        <v>1183</v>
      </c>
      <c r="C1017" s="1048">
        <v>43376</v>
      </c>
      <c r="D1017" s="1049">
        <v>2000</v>
      </c>
    </row>
    <row r="1018" spans="1:4">
      <c r="A1018" s="1050" t="s">
        <v>402</v>
      </c>
      <c r="B1018" s="1051" t="s">
        <v>401</v>
      </c>
      <c r="C1018" s="1052">
        <v>43377</v>
      </c>
      <c r="D1018" s="1053">
        <v>900</v>
      </c>
    </row>
    <row r="1019" spans="1:4">
      <c r="A1019" s="1046" t="s">
        <v>1211</v>
      </c>
      <c r="B1019" s="1047" t="s">
        <v>927</v>
      </c>
      <c r="C1019" s="1048">
        <v>43377</v>
      </c>
      <c r="D1019" s="1049">
        <v>598.77099999999996</v>
      </c>
    </row>
    <row r="1020" spans="1:4">
      <c r="A1020" s="1050" t="s">
        <v>413</v>
      </c>
      <c r="B1020" s="1051" t="s">
        <v>412</v>
      </c>
      <c r="C1020" s="1052">
        <v>43378</v>
      </c>
      <c r="D1020" s="1053">
        <v>1363.22</v>
      </c>
    </row>
    <row r="1021" spans="1:4">
      <c r="A1021" s="1050" t="s">
        <v>369</v>
      </c>
      <c r="B1021" s="1051" t="s">
        <v>368</v>
      </c>
      <c r="C1021" s="1052">
        <v>43378</v>
      </c>
      <c r="D1021" s="1053">
        <v>5547.4</v>
      </c>
    </row>
    <row r="1022" spans="1:4">
      <c r="A1022" s="1050" t="s">
        <v>411</v>
      </c>
      <c r="B1022" s="1051" t="s">
        <v>541</v>
      </c>
      <c r="C1022" s="1052">
        <v>43378</v>
      </c>
      <c r="D1022" s="1053">
        <v>1425.67</v>
      </c>
    </row>
    <row r="1023" spans="1:4">
      <c r="A1023" s="1046" t="s">
        <v>809</v>
      </c>
      <c r="B1023" s="1047" t="s">
        <v>808</v>
      </c>
      <c r="C1023" s="1048">
        <v>43378</v>
      </c>
      <c r="D1023" s="1049">
        <v>657.29700000000003</v>
      </c>
    </row>
    <row r="1024" spans="1:4">
      <c r="A1024" s="1046" t="s">
        <v>535</v>
      </c>
      <c r="B1024" s="1047" t="s">
        <v>1240</v>
      </c>
      <c r="C1024" s="1048">
        <v>43378</v>
      </c>
      <c r="D1024" s="1049">
        <v>2080.415</v>
      </c>
    </row>
    <row r="1025" spans="1:4">
      <c r="A1025" s="1050" t="s">
        <v>410</v>
      </c>
      <c r="B1025" s="1051" t="s">
        <v>562</v>
      </c>
      <c r="C1025" s="1052">
        <v>43378</v>
      </c>
      <c r="D1025" s="1053">
        <v>4962.1499999999996</v>
      </c>
    </row>
    <row r="1026" spans="1:4">
      <c r="A1026" s="1050" t="s">
        <v>1117</v>
      </c>
      <c r="B1026" s="1051" t="s">
        <v>798</v>
      </c>
      <c r="C1026" s="1052">
        <v>43378</v>
      </c>
      <c r="D1026" s="1053">
        <v>4496.8900000000003</v>
      </c>
    </row>
    <row r="1027" spans="1:4">
      <c r="A1027" s="1050" t="s">
        <v>415</v>
      </c>
      <c r="B1027" s="1051" t="s">
        <v>414</v>
      </c>
      <c r="C1027" s="1052">
        <v>43378</v>
      </c>
      <c r="D1027" s="1053">
        <v>1588.89</v>
      </c>
    </row>
    <row r="1028" spans="1:4">
      <c r="A1028" s="1046" t="s">
        <v>719</v>
      </c>
      <c r="B1028" s="1047" t="s">
        <v>718</v>
      </c>
      <c r="C1028" s="1048">
        <v>43378</v>
      </c>
      <c r="D1028" s="1049">
        <v>402</v>
      </c>
    </row>
    <row r="1029" spans="1:4">
      <c r="A1029" s="1046" t="s">
        <v>525</v>
      </c>
      <c r="B1029" s="1047" t="s">
        <v>524</v>
      </c>
      <c r="C1029" s="1048">
        <v>43378</v>
      </c>
      <c r="D1029" s="1049">
        <v>449.40899999999999</v>
      </c>
    </row>
    <row r="1030" spans="1:4">
      <c r="A1030" s="1046" t="s">
        <v>655</v>
      </c>
      <c r="B1030" s="1047" t="s">
        <v>497</v>
      </c>
      <c r="C1030" s="1048">
        <v>43378</v>
      </c>
      <c r="D1030" s="1049">
        <v>746.16600000000005</v>
      </c>
    </row>
    <row r="1031" spans="1:4">
      <c r="A1031" s="1046" t="s">
        <v>949</v>
      </c>
      <c r="B1031" s="1047" t="s">
        <v>1175</v>
      </c>
      <c r="C1031" s="1048">
        <v>43378</v>
      </c>
      <c r="D1031" s="1049">
        <v>1098.316</v>
      </c>
    </row>
    <row r="1032" spans="1:4">
      <c r="A1032" s="1050" t="s">
        <v>517</v>
      </c>
      <c r="B1032" s="1051" t="s">
        <v>516</v>
      </c>
      <c r="C1032" s="1052">
        <v>43378</v>
      </c>
      <c r="D1032" s="1053">
        <v>642.12</v>
      </c>
    </row>
    <row r="1033" spans="1:4">
      <c r="A1033" s="1050" t="s">
        <v>409</v>
      </c>
      <c r="B1033" s="1051" t="s">
        <v>408</v>
      </c>
      <c r="C1033" s="1052">
        <v>43379</v>
      </c>
      <c r="D1033" s="1053">
        <v>2411.84</v>
      </c>
    </row>
    <row r="1034" spans="1:4">
      <c r="A1034" s="1050" t="s">
        <v>407</v>
      </c>
      <c r="B1034" s="1051" t="s">
        <v>406</v>
      </c>
      <c r="C1034" s="1052">
        <v>43380</v>
      </c>
      <c r="D1034" s="1053">
        <v>1393.19</v>
      </c>
    </row>
    <row r="1035" spans="1:4">
      <c r="A1035" s="1050" t="s">
        <v>402</v>
      </c>
      <c r="B1035" s="1051" t="s">
        <v>401</v>
      </c>
      <c r="C1035" s="1052">
        <v>43380</v>
      </c>
      <c r="D1035" s="1053">
        <v>1150</v>
      </c>
    </row>
    <row r="1036" spans="1:4">
      <c r="A1036" s="1046" t="s">
        <v>540</v>
      </c>
      <c r="B1036" s="1047" t="s">
        <v>539</v>
      </c>
      <c r="C1036" s="1048">
        <v>43380</v>
      </c>
      <c r="D1036" s="1049">
        <v>900</v>
      </c>
    </row>
    <row r="1037" spans="1:4">
      <c r="A1037" s="1050" t="s">
        <v>657</v>
      </c>
      <c r="B1037" s="1051" t="s">
        <v>656</v>
      </c>
      <c r="C1037" s="1052">
        <v>43380</v>
      </c>
      <c r="D1037" s="1053">
        <v>1240.3499999999999</v>
      </c>
    </row>
    <row r="1038" spans="1:4">
      <c r="A1038" s="1046" t="s">
        <v>500</v>
      </c>
      <c r="B1038" s="1047" t="s">
        <v>499</v>
      </c>
      <c r="C1038" s="1048">
        <v>43380</v>
      </c>
      <c r="D1038" s="1049">
        <v>2255</v>
      </c>
    </row>
    <row r="1039" spans="1:4">
      <c r="A1039" s="1050" t="s">
        <v>1116</v>
      </c>
      <c r="B1039" s="1051" t="s">
        <v>1115</v>
      </c>
      <c r="C1039" s="1052">
        <v>43381</v>
      </c>
      <c r="D1039" s="1053">
        <v>1200</v>
      </c>
    </row>
    <row r="1040" spans="1:4">
      <c r="A1040" s="1046" t="s">
        <v>728</v>
      </c>
      <c r="B1040" s="1047" t="s">
        <v>727</v>
      </c>
      <c r="C1040" s="1048">
        <v>43381</v>
      </c>
      <c r="D1040" s="1049">
        <v>1385.4269999999999</v>
      </c>
    </row>
    <row r="1041" spans="1:4">
      <c r="A1041" s="1050" t="s">
        <v>405</v>
      </c>
      <c r="B1041" s="1051" t="s">
        <v>404</v>
      </c>
      <c r="C1041" s="1052">
        <v>43381</v>
      </c>
      <c r="D1041" s="1053">
        <v>893.02</v>
      </c>
    </row>
    <row r="1042" spans="1:4">
      <c r="A1042" s="1050" t="s">
        <v>363</v>
      </c>
      <c r="B1042" s="1051" t="s">
        <v>362</v>
      </c>
      <c r="C1042" s="1052">
        <v>43381</v>
      </c>
      <c r="D1042" s="1053">
        <v>2380</v>
      </c>
    </row>
    <row r="1043" spans="1:4">
      <c r="A1043" s="1046" t="s">
        <v>470</v>
      </c>
      <c r="B1043" s="1047" t="s">
        <v>469</v>
      </c>
      <c r="C1043" s="1048">
        <v>43381</v>
      </c>
      <c r="D1043" s="1049">
        <v>987.16800000000001</v>
      </c>
    </row>
    <row r="1044" spans="1:4">
      <c r="A1044" s="1046" t="s">
        <v>1167</v>
      </c>
      <c r="B1044" s="1047" t="s">
        <v>1166</v>
      </c>
      <c r="C1044" s="1048">
        <v>43382</v>
      </c>
      <c r="D1044" s="1049">
        <v>4858.4210000000003</v>
      </c>
    </row>
    <row r="1045" spans="1:4">
      <c r="A1045" s="1050" t="s">
        <v>403</v>
      </c>
      <c r="B1045" s="1051" t="s">
        <v>393</v>
      </c>
      <c r="C1045" s="1052">
        <v>43383</v>
      </c>
      <c r="D1045" s="1053">
        <v>4290.1000000000004</v>
      </c>
    </row>
    <row r="1046" spans="1:4">
      <c r="A1046" s="1050" t="s">
        <v>398</v>
      </c>
      <c r="B1046" s="1051" t="s">
        <v>397</v>
      </c>
      <c r="C1046" s="1052">
        <v>43383</v>
      </c>
      <c r="D1046" s="1053">
        <v>439.27</v>
      </c>
    </row>
    <row r="1047" spans="1:4">
      <c r="A1047" s="1050" t="s">
        <v>402</v>
      </c>
      <c r="B1047" s="1051" t="s">
        <v>401</v>
      </c>
      <c r="C1047" s="1052">
        <v>43383</v>
      </c>
      <c r="D1047" s="1053">
        <v>1150</v>
      </c>
    </row>
    <row r="1048" spans="1:4">
      <c r="A1048" s="1050" t="s">
        <v>400</v>
      </c>
      <c r="B1048" s="1051" t="s">
        <v>399</v>
      </c>
      <c r="C1048" s="1052">
        <v>43383</v>
      </c>
      <c r="D1048" s="1053">
        <v>1953.56</v>
      </c>
    </row>
    <row r="1049" spans="1:4">
      <c r="A1049" s="1046" t="s">
        <v>600</v>
      </c>
      <c r="B1049" s="1047" t="s">
        <v>599</v>
      </c>
      <c r="C1049" s="1048">
        <v>43383</v>
      </c>
      <c r="D1049" s="1049">
        <v>655</v>
      </c>
    </row>
    <row r="1050" spans="1:4">
      <c r="A1050" s="1050" t="s">
        <v>415</v>
      </c>
      <c r="B1050" s="1051" t="s">
        <v>414</v>
      </c>
      <c r="C1050" s="1052">
        <v>43383</v>
      </c>
      <c r="D1050" s="1053">
        <v>2600</v>
      </c>
    </row>
    <row r="1051" spans="1:4">
      <c r="A1051" s="1050" t="s">
        <v>747</v>
      </c>
      <c r="B1051" s="1051" t="s">
        <v>746</v>
      </c>
      <c r="C1051" s="1052">
        <v>43383</v>
      </c>
      <c r="D1051" s="1053">
        <v>2200</v>
      </c>
    </row>
    <row r="1052" spans="1:4">
      <c r="A1052" s="1046" t="s">
        <v>809</v>
      </c>
      <c r="B1052" s="1047" t="s">
        <v>808</v>
      </c>
      <c r="C1052" s="1048">
        <v>43385</v>
      </c>
      <c r="D1052" s="1049">
        <v>657.298</v>
      </c>
    </row>
    <row r="1053" spans="1:4">
      <c r="A1053" s="1050" t="s">
        <v>357</v>
      </c>
      <c r="B1053" s="1051" t="s">
        <v>378</v>
      </c>
      <c r="C1053" s="1052">
        <v>43385</v>
      </c>
      <c r="D1053" s="1053">
        <v>1036.6300000000001</v>
      </c>
    </row>
    <row r="1054" spans="1:4">
      <c r="A1054" s="1050" t="s">
        <v>507</v>
      </c>
      <c r="B1054" s="1051" t="s">
        <v>506</v>
      </c>
      <c r="C1054" s="1052">
        <v>43385</v>
      </c>
      <c r="D1054" s="1053">
        <v>299.62</v>
      </c>
    </row>
    <row r="1055" spans="1:4">
      <c r="A1055" s="1050" t="s">
        <v>396</v>
      </c>
      <c r="B1055" s="1051" t="s">
        <v>395</v>
      </c>
      <c r="C1055" s="1052">
        <v>43385</v>
      </c>
      <c r="D1055" s="1053">
        <v>945.82</v>
      </c>
    </row>
    <row r="1056" spans="1:4">
      <c r="A1056" s="1046" t="s">
        <v>470</v>
      </c>
      <c r="B1056" s="1047" t="s">
        <v>469</v>
      </c>
      <c r="C1056" s="1048">
        <v>43385</v>
      </c>
      <c r="D1056" s="1049">
        <v>987.16099999999994</v>
      </c>
    </row>
    <row r="1057" spans="1:4">
      <c r="A1057" s="1046" t="s">
        <v>405</v>
      </c>
      <c r="B1057" s="1047" t="s">
        <v>404</v>
      </c>
      <c r="C1057" s="1048">
        <v>43387</v>
      </c>
      <c r="D1057" s="1049">
        <v>954.72900000000004</v>
      </c>
    </row>
    <row r="1058" spans="1:4">
      <c r="A1058" s="1046" t="s">
        <v>500</v>
      </c>
      <c r="B1058" s="1047" t="s">
        <v>499</v>
      </c>
      <c r="C1058" s="1048">
        <v>43387</v>
      </c>
      <c r="D1058" s="1049">
        <v>2258</v>
      </c>
    </row>
    <row r="1059" spans="1:4">
      <c r="A1059" s="1050" t="s">
        <v>1116</v>
      </c>
      <c r="B1059" s="1051" t="s">
        <v>1115</v>
      </c>
      <c r="C1059" s="1052">
        <v>43388</v>
      </c>
      <c r="D1059" s="1053">
        <v>1200</v>
      </c>
    </row>
    <row r="1060" spans="1:4">
      <c r="A1060" s="1050" t="s">
        <v>394</v>
      </c>
      <c r="B1060" s="1051" t="s">
        <v>393</v>
      </c>
      <c r="C1060" s="1052">
        <v>43388</v>
      </c>
      <c r="D1060" s="1053">
        <v>2095.2199999999998</v>
      </c>
    </row>
    <row r="1061" spans="1:4">
      <c r="A1061" s="1046" t="s">
        <v>375</v>
      </c>
      <c r="B1061" s="1047" t="s">
        <v>374</v>
      </c>
      <c r="C1061" s="1048">
        <v>43388</v>
      </c>
      <c r="D1061" s="1049">
        <v>4089.01</v>
      </c>
    </row>
    <row r="1062" spans="1:4">
      <c r="A1062" s="1050" t="s">
        <v>388</v>
      </c>
      <c r="B1062" s="1051" t="s">
        <v>387</v>
      </c>
      <c r="C1062" s="1052">
        <v>43388</v>
      </c>
      <c r="D1062" s="1053">
        <v>1456.11</v>
      </c>
    </row>
    <row r="1063" spans="1:4">
      <c r="A1063" s="1050" t="s">
        <v>390</v>
      </c>
      <c r="B1063" s="1051" t="s">
        <v>389</v>
      </c>
      <c r="C1063" s="1052">
        <v>43388</v>
      </c>
      <c r="D1063" s="1053">
        <v>2750.96</v>
      </c>
    </row>
    <row r="1064" spans="1:4">
      <c r="A1064" s="1046" t="s">
        <v>600</v>
      </c>
      <c r="B1064" s="1047" t="s">
        <v>599</v>
      </c>
      <c r="C1064" s="1048">
        <v>43388</v>
      </c>
      <c r="D1064" s="1049">
        <v>655</v>
      </c>
    </row>
    <row r="1065" spans="1:4">
      <c r="A1065" s="1050" t="s">
        <v>671</v>
      </c>
      <c r="B1065" s="1051" t="s">
        <v>670</v>
      </c>
      <c r="C1065" s="1052">
        <v>43388</v>
      </c>
      <c r="D1065" s="1053">
        <v>678.7</v>
      </c>
    </row>
    <row r="1066" spans="1:4">
      <c r="A1066" s="1050" t="s">
        <v>386</v>
      </c>
      <c r="B1066" s="1051" t="s">
        <v>594</v>
      </c>
      <c r="C1066" s="1052">
        <v>43388</v>
      </c>
      <c r="D1066" s="1053">
        <v>1086.23</v>
      </c>
    </row>
    <row r="1067" spans="1:4">
      <c r="A1067" s="1046" t="s">
        <v>719</v>
      </c>
      <c r="B1067" s="1047" t="s">
        <v>718</v>
      </c>
      <c r="C1067" s="1048">
        <v>43388</v>
      </c>
      <c r="D1067" s="1049">
        <v>402</v>
      </c>
    </row>
    <row r="1068" spans="1:4">
      <c r="A1068" s="1050" t="s">
        <v>371</v>
      </c>
      <c r="B1068" s="1051" t="s">
        <v>370</v>
      </c>
      <c r="C1068" s="1052">
        <v>43388</v>
      </c>
      <c r="D1068" s="1053">
        <v>1900</v>
      </c>
    </row>
    <row r="1069" spans="1:4">
      <c r="A1069" s="1050" t="s">
        <v>392</v>
      </c>
      <c r="B1069" s="1051" t="s">
        <v>391</v>
      </c>
      <c r="C1069" s="1052">
        <v>43388</v>
      </c>
      <c r="D1069" s="1053">
        <v>1837.2</v>
      </c>
    </row>
    <row r="1070" spans="1:4">
      <c r="A1070" s="1046" t="s">
        <v>422</v>
      </c>
      <c r="B1070" s="1047" t="s">
        <v>421</v>
      </c>
      <c r="C1070" s="1048">
        <v>43388</v>
      </c>
      <c r="D1070" s="1049">
        <v>677.20500000000004</v>
      </c>
    </row>
    <row r="1071" spans="1:4">
      <c r="A1071" s="1050" t="s">
        <v>363</v>
      </c>
      <c r="B1071" s="1051" t="s">
        <v>362</v>
      </c>
      <c r="C1071" s="1052">
        <v>43388</v>
      </c>
      <c r="D1071" s="1053">
        <v>2380</v>
      </c>
    </row>
    <row r="1072" spans="1:4">
      <c r="A1072" s="1046" t="s">
        <v>589</v>
      </c>
      <c r="B1072" s="1047" t="s">
        <v>1178</v>
      </c>
      <c r="C1072" s="1048">
        <v>43388</v>
      </c>
      <c r="D1072" s="1049">
        <v>700</v>
      </c>
    </row>
    <row r="1073" spans="1:4">
      <c r="A1073" s="1050" t="s">
        <v>684</v>
      </c>
      <c r="B1073" s="1051" t="s">
        <v>457</v>
      </c>
      <c r="C1073" s="1052">
        <v>43390</v>
      </c>
      <c r="D1073" s="1053">
        <v>831</v>
      </c>
    </row>
    <row r="1074" spans="1:4">
      <c r="A1074" s="1050" t="s">
        <v>385</v>
      </c>
      <c r="B1074" s="1051" t="s">
        <v>364</v>
      </c>
      <c r="C1074" s="1052">
        <v>43390</v>
      </c>
      <c r="D1074" s="1053">
        <v>957.39</v>
      </c>
    </row>
    <row r="1075" spans="1:4">
      <c r="A1075" s="1050" t="s">
        <v>415</v>
      </c>
      <c r="B1075" s="1051" t="s">
        <v>414</v>
      </c>
      <c r="C1075" s="1052">
        <v>43390</v>
      </c>
      <c r="D1075" s="1053">
        <v>2600</v>
      </c>
    </row>
    <row r="1076" spans="1:4">
      <c r="A1076" s="1046" t="s">
        <v>470</v>
      </c>
      <c r="B1076" s="1047" t="s">
        <v>469</v>
      </c>
      <c r="C1076" s="1048">
        <v>43390</v>
      </c>
      <c r="D1076" s="1049">
        <v>987.16099999999994</v>
      </c>
    </row>
    <row r="1077" spans="1:4">
      <c r="A1077" s="1050" t="s">
        <v>382</v>
      </c>
      <c r="B1077" s="1051" t="s">
        <v>381</v>
      </c>
      <c r="C1077" s="1052">
        <v>43391</v>
      </c>
      <c r="D1077" s="1053">
        <v>1800</v>
      </c>
    </row>
    <row r="1078" spans="1:4">
      <c r="A1078" s="1046" t="s">
        <v>444</v>
      </c>
      <c r="B1078" s="1047" t="s">
        <v>1183</v>
      </c>
      <c r="C1078" s="1048">
        <v>43391</v>
      </c>
      <c r="D1078" s="1049">
        <v>2000</v>
      </c>
    </row>
    <row r="1079" spans="1:4">
      <c r="A1079" s="1050" t="s">
        <v>684</v>
      </c>
      <c r="B1079" s="1051" t="s">
        <v>457</v>
      </c>
      <c r="C1079" s="1052">
        <v>43392</v>
      </c>
      <c r="D1079" s="1053">
        <v>831</v>
      </c>
    </row>
    <row r="1080" spans="1:4">
      <c r="A1080" s="1046" t="s">
        <v>1032</v>
      </c>
      <c r="B1080" s="1047" t="s">
        <v>499</v>
      </c>
      <c r="C1080" s="1048">
        <v>43392</v>
      </c>
      <c r="D1080" s="1049">
        <v>2269.0070000000001</v>
      </c>
    </row>
    <row r="1081" spans="1:4">
      <c r="A1081" s="1050" t="s">
        <v>357</v>
      </c>
      <c r="B1081" s="1051" t="s">
        <v>378</v>
      </c>
      <c r="C1081" s="1052">
        <v>43393</v>
      </c>
      <c r="D1081" s="1053">
        <v>1200</v>
      </c>
    </row>
    <row r="1082" spans="1:4">
      <c r="A1082" s="1046" t="s">
        <v>1198</v>
      </c>
      <c r="B1082" s="1047" t="s">
        <v>1197</v>
      </c>
      <c r="C1082" s="1048">
        <v>43393</v>
      </c>
      <c r="D1082" s="1049">
        <v>1800</v>
      </c>
    </row>
    <row r="1083" spans="1:4">
      <c r="A1083" s="1050" t="s">
        <v>361</v>
      </c>
      <c r="B1083" s="1051" t="s">
        <v>360</v>
      </c>
      <c r="C1083" s="1052">
        <v>43393</v>
      </c>
      <c r="D1083" s="1053">
        <v>1016.36</v>
      </c>
    </row>
    <row r="1084" spans="1:4">
      <c r="A1084" s="1046" t="s">
        <v>600</v>
      </c>
      <c r="B1084" s="1047" t="s">
        <v>599</v>
      </c>
      <c r="C1084" s="1048">
        <v>43393</v>
      </c>
      <c r="D1084" s="1049">
        <v>660.596</v>
      </c>
    </row>
    <row r="1085" spans="1:4">
      <c r="A1085" s="1046" t="s">
        <v>643</v>
      </c>
      <c r="B1085" s="1047" t="s">
        <v>642</v>
      </c>
      <c r="C1085" s="1048">
        <v>43393</v>
      </c>
      <c r="D1085" s="1049">
        <v>4352.8710000000001</v>
      </c>
    </row>
    <row r="1086" spans="1:4">
      <c r="A1086" s="1046" t="s">
        <v>405</v>
      </c>
      <c r="B1086" s="1047" t="s">
        <v>404</v>
      </c>
      <c r="C1086" s="1048">
        <v>43394</v>
      </c>
      <c r="D1086" s="1049">
        <v>954.72900000000004</v>
      </c>
    </row>
    <row r="1087" spans="1:4">
      <c r="A1087" s="1050" t="s">
        <v>684</v>
      </c>
      <c r="B1087" s="1051" t="s">
        <v>457</v>
      </c>
      <c r="C1087" s="1052">
        <v>43394</v>
      </c>
      <c r="D1087" s="1053">
        <v>831</v>
      </c>
    </row>
    <row r="1088" spans="1:4">
      <c r="A1088" s="1050" t="s">
        <v>383</v>
      </c>
      <c r="B1088" s="1051" t="s">
        <v>379</v>
      </c>
      <c r="C1088" s="1052">
        <v>43394</v>
      </c>
      <c r="D1088" s="1053">
        <v>674.56</v>
      </c>
    </row>
    <row r="1089" spans="1:4">
      <c r="A1089" s="1050" t="s">
        <v>1116</v>
      </c>
      <c r="B1089" s="1051" t="s">
        <v>1115</v>
      </c>
      <c r="C1089" s="1052">
        <v>43395</v>
      </c>
      <c r="D1089" s="1053">
        <v>1200</v>
      </c>
    </row>
    <row r="1090" spans="1:4">
      <c r="A1090" s="1050" t="s">
        <v>684</v>
      </c>
      <c r="B1090" s="1051" t="s">
        <v>457</v>
      </c>
      <c r="C1090" s="1052">
        <v>43396</v>
      </c>
      <c r="D1090" s="1053">
        <v>831</v>
      </c>
    </row>
    <row r="1091" spans="1:4">
      <c r="A1091" s="1050" t="s">
        <v>363</v>
      </c>
      <c r="B1091" s="1051" t="s">
        <v>362</v>
      </c>
      <c r="C1091" s="1052">
        <v>43396</v>
      </c>
      <c r="D1091" s="1053">
        <v>2441.8200000000002</v>
      </c>
    </row>
    <row r="1092" spans="1:4">
      <c r="A1092" s="1050" t="s">
        <v>415</v>
      </c>
      <c r="B1092" s="1051" t="s">
        <v>414</v>
      </c>
      <c r="C1092" s="1052">
        <v>43397</v>
      </c>
      <c r="D1092" s="1053">
        <v>2600</v>
      </c>
    </row>
    <row r="1093" spans="1:4">
      <c r="A1093" s="1050" t="s">
        <v>373</v>
      </c>
      <c r="B1093" s="1051" t="s">
        <v>372</v>
      </c>
      <c r="C1093" s="1052">
        <v>43398</v>
      </c>
      <c r="D1093" s="1053">
        <v>3000</v>
      </c>
    </row>
    <row r="1094" spans="1:4">
      <c r="A1094" s="1050" t="s">
        <v>684</v>
      </c>
      <c r="B1094" s="1051" t="s">
        <v>457</v>
      </c>
      <c r="C1094" s="1052">
        <v>43398</v>
      </c>
      <c r="D1094" s="1053">
        <v>831</v>
      </c>
    </row>
    <row r="1095" spans="1:4">
      <c r="A1095" s="1050" t="s">
        <v>384</v>
      </c>
      <c r="B1095" s="1051" t="s">
        <v>455</v>
      </c>
      <c r="C1095" s="1052">
        <v>43398</v>
      </c>
      <c r="D1095" s="1053">
        <v>950</v>
      </c>
    </row>
    <row r="1096" spans="1:4">
      <c r="A1096" s="1050" t="s">
        <v>452</v>
      </c>
      <c r="B1096" s="1051" t="s">
        <v>451</v>
      </c>
      <c r="C1096" s="1052">
        <v>43398</v>
      </c>
      <c r="D1096" s="1053">
        <v>2300</v>
      </c>
    </row>
    <row r="1097" spans="1:4">
      <c r="A1097" s="1046" t="s">
        <v>719</v>
      </c>
      <c r="B1097" s="1047" t="s">
        <v>718</v>
      </c>
      <c r="C1097" s="1048">
        <v>43398</v>
      </c>
      <c r="D1097" s="1049">
        <v>402</v>
      </c>
    </row>
    <row r="1098" spans="1:4">
      <c r="A1098" s="1046" t="s">
        <v>444</v>
      </c>
      <c r="B1098" s="1047" t="s">
        <v>1183</v>
      </c>
      <c r="C1098" s="1048">
        <v>43398</v>
      </c>
      <c r="D1098" s="1049">
        <v>2000</v>
      </c>
    </row>
    <row r="1099" spans="1:4">
      <c r="A1099" s="1046" t="s">
        <v>470</v>
      </c>
      <c r="B1099" s="1047" t="s">
        <v>469</v>
      </c>
      <c r="C1099" s="1048">
        <v>43399</v>
      </c>
      <c r="D1099" s="1049">
        <v>987.16099999999994</v>
      </c>
    </row>
    <row r="1100" spans="1:4">
      <c r="A1100" s="1046" t="s">
        <v>405</v>
      </c>
      <c r="B1100" s="1047" t="s">
        <v>404</v>
      </c>
      <c r="C1100" s="1048">
        <v>43400</v>
      </c>
      <c r="D1100" s="1049">
        <v>954.72900000000004</v>
      </c>
    </row>
    <row r="1101" spans="1:4">
      <c r="A1101" s="1050" t="s">
        <v>684</v>
      </c>
      <c r="B1101" s="1051" t="s">
        <v>457</v>
      </c>
      <c r="C1101" s="1052">
        <v>43400</v>
      </c>
      <c r="D1101" s="1053">
        <v>831</v>
      </c>
    </row>
    <row r="1102" spans="1:4">
      <c r="A1102" s="1050" t="s">
        <v>383</v>
      </c>
      <c r="B1102" s="1051" t="s">
        <v>379</v>
      </c>
      <c r="C1102" s="1052">
        <v>43400</v>
      </c>
      <c r="D1102" s="1053">
        <v>660</v>
      </c>
    </row>
    <row r="1103" spans="1:4">
      <c r="A1103" s="1050" t="s">
        <v>359</v>
      </c>
      <c r="B1103" s="1051" t="s">
        <v>358</v>
      </c>
      <c r="C1103" s="1052">
        <v>43400</v>
      </c>
      <c r="D1103" s="1053">
        <v>7162.55</v>
      </c>
    </row>
    <row r="1104" spans="1:4">
      <c r="A1104" s="1046" t="s">
        <v>717</v>
      </c>
      <c r="B1104" s="1047" t="s">
        <v>1208</v>
      </c>
      <c r="C1104" s="1048">
        <v>43401</v>
      </c>
      <c r="D1104" s="1049">
        <v>1087.3789999999999</v>
      </c>
    </row>
    <row r="1105" spans="1:4">
      <c r="A1105" s="1046" t="s">
        <v>472</v>
      </c>
      <c r="B1105" s="1047" t="s">
        <v>471</v>
      </c>
      <c r="C1105" s="1048">
        <v>43401</v>
      </c>
      <c r="D1105" s="1049">
        <v>7434.3230000000003</v>
      </c>
    </row>
    <row r="1106" spans="1:4">
      <c r="A1106" s="1050" t="s">
        <v>684</v>
      </c>
      <c r="B1106" s="1051" t="s">
        <v>457</v>
      </c>
      <c r="C1106" s="1052">
        <v>43402</v>
      </c>
      <c r="D1106" s="1053">
        <v>835.2</v>
      </c>
    </row>
    <row r="1107" spans="1:4">
      <c r="A1107" s="1050" t="s">
        <v>382</v>
      </c>
      <c r="B1107" s="1051" t="s">
        <v>381</v>
      </c>
      <c r="C1107" s="1052">
        <v>43402</v>
      </c>
      <c r="D1107" s="1053">
        <v>1909.67</v>
      </c>
    </row>
    <row r="1108" spans="1:4">
      <c r="A1108" s="1046" t="s">
        <v>1198</v>
      </c>
      <c r="B1108" s="1047" t="s">
        <v>1197</v>
      </c>
      <c r="C1108" s="1048">
        <v>43402</v>
      </c>
      <c r="D1108" s="1049">
        <v>1869.2750000000001</v>
      </c>
    </row>
    <row r="1109" spans="1:4">
      <c r="A1109" s="1050" t="s">
        <v>538</v>
      </c>
      <c r="B1109" s="1051" t="s">
        <v>537</v>
      </c>
      <c r="C1109" s="1052">
        <v>43402</v>
      </c>
      <c r="D1109" s="1053">
        <v>2476.3200000000002</v>
      </c>
    </row>
    <row r="1110" spans="1:4">
      <c r="A1110" s="1050" t="s">
        <v>375</v>
      </c>
      <c r="B1110" s="1051" t="s">
        <v>374</v>
      </c>
      <c r="C1110" s="1052">
        <v>43403</v>
      </c>
      <c r="D1110" s="1053">
        <v>6729.23</v>
      </c>
    </row>
    <row r="1111" spans="1:4">
      <c r="A1111" s="1050" t="s">
        <v>373</v>
      </c>
      <c r="B1111" s="1051" t="s">
        <v>372</v>
      </c>
      <c r="C1111" s="1052">
        <v>43403</v>
      </c>
      <c r="D1111" s="1053">
        <v>3005</v>
      </c>
    </row>
    <row r="1112" spans="1:4">
      <c r="A1112" s="1046" t="s">
        <v>462</v>
      </c>
      <c r="B1112" s="1047" t="s">
        <v>1219</v>
      </c>
      <c r="C1112" s="1048">
        <v>43403</v>
      </c>
      <c r="D1112" s="1049">
        <v>2688.93</v>
      </c>
    </row>
    <row r="1113" spans="1:4">
      <c r="A1113" s="1050" t="s">
        <v>1114</v>
      </c>
      <c r="B1113" s="1051" t="s">
        <v>1113</v>
      </c>
      <c r="C1113" s="1052">
        <v>43403</v>
      </c>
      <c r="D1113" s="1053">
        <v>2500</v>
      </c>
    </row>
    <row r="1114" spans="1:4">
      <c r="A1114" s="1050" t="s">
        <v>380</v>
      </c>
      <c r="B1114" s="1051" t="s">
        <v>379</v>
      </c>
      <c r="C1114" s="1052">
        <v>43403</v>
      </c>
      <c r="D1114" s="1053">
        <v>809.19</v>
      </c>
    </row>
    <row r="1115" spans="1:4">
      <c r="A1115" s="1050" t="s">
        <v>357</v>
      </c>
      <c r="B1115" s="1051" t="s">
        <v>378</v>
      </c>
      <c r="C1115" s="1052">
        <v>43403</v>
      </c>
      <c r="D1115" s="1053">
        <v>1200</v>
      </c>
    </row>
    <row r="1116" spans="1:4">
      <c r="A1116" s="1050" t="s">
        <v>371</v>
      </c>
      <c r="B1116" s="1051" t="s">
        <v>370</v>
      </c>
      <c r="C1116" s="1052">
        <v>43403</v>
      </c>
      <c r="D1116" s="1053">
        <v>1856.53</v>
      </c>
    </row>
    <row r="1117" spans="1:4">
      <c r="A1117" s="1046" t="s">
        <v>396</v>
      </c>
      <c r="B1117" s="1047" t="s">
        <v>395</v>
      </c>
      <c r="C1117" s="1048">
        <v>43403</v>
      </c>
      <c r="D1117" s="1049">
        <v>588.88499999999999</v>
      </c>
    </row>
    <row r="1118" spans="1:4">
      <c r="A1118" s="1050" t="s">
        <v>377</v>
      </c>
      <c r="B1118" s="1051" t="s">
        <v>376</v>
      </c>
      <c r="C1118" s="1052">
        <v>43403</v>
      </c>
      <c r="D1118" s="1053">
        <v>2581.1799999999998</v>
      </c>
    </row>
    <row r="1119" spans="1:4">
      <c r="A1119" s="1046" t="s">
        <v>444</v>
      </c>
      <c r="B1119" s="1047" t="s">
        <v>1183</v>
      </c>
      <c r="C1119" s="1048">
        <v>43403</v>
      </c>
      <c r="D1119" s="1049">
        <v>2000</v>
      </c>
    </row>
    <row r="1120" spans="1:4">
      <c r="A1120" s="1046" t="s">
        <v>467</v>
      </c>
      <c r="B1120" s="1047" t="s">
        <v>1212</v>
      </c>
      <c r="C1120" s="1048">
        <v>43404</v>
      </c>
      <c r="D1120" s="1049">
        <v>5840.2629999999999</v>
      </c>
    </row>
    <row r="1121" spans="1:4">
      <c r="A1121" s="1050" t="s">
        <v>369</v>
      </c>
      <c r="B1121" s="1051" t="s">
        <v>368</v>
      </c>
      <c r="C1121" s="1052">
        <v>43404</v>
      </c>
      <c r="D1121" s="1053">
        <v>1457.29</v>
      </c>
    </row>
    <row r="1122" spans="1:4">
      <c r="A1122" s="1050" t="s">
        <v>357</v>
      </c>
      <c r="B1122" s="1051" t="s">
        <v>378</v>
      </c>
      <c r="C1122" s="1052">
        <v>43404</v>
      </c>
      <c r="D1122" s="1053">
        <v>1175</v>
      </c>
    </row>
    <row r="1123" spans="1:4">
      <c r="A1123" s="1050" t="s">
        <v>367</v>
      </c>
      <c r="B1123" s="1051" t="s">
        <v>366</v>
      </c>
      <c r="C1123" s="1052">
        <v>43404</v>
      </c>
      <c r="D1123" s="1053">
        <v>29219.13</v>
      </c>
    </row>
    <row r="1124" spans="1:4">
      <c r="A1124" s="1046" t="s">
        <v>1196</v>
      </c>
      <c r="B1124" s="1047" t="s">
        <v>603</v>
      </c>
      <c r="C1124" s="1048">
        <v>43404</v>
      </c>
      <c r="D1124" s="1049">
        <v>404.54599999999999</v>
      </c>
    </row>
    <row r="1125" spans="1:4">
      <c r="A1125" s="1050" t="s">
        <v>452</v>
      </c>
      <c r="B1125" s="1051" t="s">
        <v>451</v>
      </c>
      <c r="C1125" s="1052">
        <v>43404</v>
      </c>
      <c r="D1125" s="1053">
        <v>2327.92</v>
      </c>
    </row>
    <row r="1126" spans="1:4">
      <c r="A1126" s="1050" t="s">
        <v>365</v>
      </c>
      <c r="B1126" s="1051" t="s">
        <v>364</v>
      </c>
      <c r="C1126" s="1052">
        <v>43404</v>
      </c>
      <c r="D1126" s="1053">
        <v>957.39</v>
      </c>
    </row>
    <row r="1127" spans="1:4">
      <c r="A1127" s="1050" t="s">
        <v>361</v>
      </c>
      <c r="B1127" s="1051" t="s">
        <v>360</v>
      </c>
      <c r="C1127" s="1052">
        <v>43404</v>
      </c>
      <c r="D1127" s="1053">
        <v>1218.81</v>
      </c>
    </row>
    <row r="1128" spans="1:4">
      <c r="A1128" s="1050" t="s">
        <v>415</v>
      </c>
      <c r="B1128" s="1051" t="s">
        <v>414</v>
      </c>
      <c r="C1128" s="1052">
        <v>43404</v>
      </c>
      <c r="D1128" s="1053">
        <v>2600</v>
      </c>
    </row>
    <row r="1129" spans="1:4">
      <c r="A1129" s="1046" t="s">
        <v>857</v>
      </c>
      <c r="B1129" s="1047" t="s">
        <v>856</v>
      </c>
      <c r="C1129" s="1048">
        <v>43404</v>
      </c>
      <c r="D1129" s="1049">
        <v>1820.12</v>
      </c>
    </row>
    <row r="1130" spans="1:4">
      <c r="A1130" s="1046" t="s">
        <v>719</v>
      </c>
      <c r="B1130" s="1047" t="s">
        <v>718</v>
      </c>
      <c r="C1130" s="1048">
        <v>43404</v>
      </c>
      <c r="D1130" s="1049">
        <v>405.64100000000002</v>
      </c>
    </row>
    <row r="1131" spans="1:4">
      <c r="A1131" s="1050" t="s">
        <v>363</v>
      </c>
      <c r="B1131" s="1051" t="s">
        <v>362</v>
      </c>
      <c r="C1131" s="1052">
        <v>43404</v>
      </c>
      <c r="D1131" s="1053">
        <v>2650</v>
      </c>
    </row>
    <row r="1132" spans="1:4" ht="15.75" thickBot="1">
      <c r="A1132" s="1072" t="s">
        <v>470</v>
      </c>
      <c r="B1132" s="1073" t="s">
        <v>469</v>
      </c>
      <c r="C1132" s="1074">
        <v>43404</v>
      </c>
      <c r="D1132" s="1075">
        <v>987.16099999999994</v>
      </c>
    </row>
    <row r="1133" spans="1:4" s="1044" customFormat="1" ht="15.75" thickBot="1">
      <c r="A1133" s="1069" t="s">
        <v>1322</v>
      </c>
      <c r="B1133" s="1070"/>
      <c r="C1133" s="1070"/>
      <c r="D1133" s="1071">
        <f>SUM(D1009:D1132)</f>
        <v>244957.17200000002</v>
      </c>
    </row>
    <row r="1134" spans="1:4">
      <c r="A1134" s="1054" t="s">
        <v>405</v>
      </c>
      <c r="B1134" s="1055" t="s">
        <v>404</v>
      </c>
      <c r="C1134" s="1056">
        <v>43407</v>
      </c>
      <c r="D1134" s="1057">
        <v>954.72900000000004</v>
      </c>
    </row>
    <row r="1135" spans="1:4">
      <c r="A1135" s="1046" t="s">
        <v>444</v>
      </c>
      <c r="B1135" s="1047" t="s">
        <v>1183</v>
      </c>
      <c r="C1135" s="1048">
        <v>43407</v>
      </c>
      <c r="D1135" s="1049">
        <v>1506.8030000000001</v>
      </c>
    </row>
    <row r="1136" spans="1:4">
      <c r="A1136" s="1050" t="s">
        <v>402</v>
      </c>
      <c r="B1136" s="1051" t="s">
        <v>401</v>
      </c>
      <c r="C1136" s="1052">
        <v>43409</v>
      </c>
      <c r="D1136" s="1053">
        <v>483.79</v>
      </c>
    </row>
    <row r="1137" spans="1:4">
      <c r="A1137" s="1046" t="s">
        <v>405</v>
      </c>
      <c r="B1137" s="1047" t="s">
        <v>404</v>
      </c>
      <c r="C1137" s="1048">
        <v>43412</v>
      </c>
      <c r="D1137" s="1049">
        <v>954.72900000000004</v>
      </c>
    </row>
    <row r="1138" spans="1:4">
      <c r="A1138" s="1050" t="s">
        <v>415</v>
      </c>
      <c r="B1138" s="1051" t="s">
        <v>414</v>
      </c>
      <c r="C1138" s="1052">
        <v>43412</v>
      </c>
      <c r="D1138" s="1053">
        <v>2743.18</v>
      </c>
    </row>
    <row r="1139" spans="1:4">
      <c r="A1139" s="1050" t="s">
        <v>1112</v>
      </c>
      <c r="B1139" s="1051" t="s">
        <v>1111</v>
      </c>
      <c r="C1139" s="1052">
        <v>43414</v>
      </c>
      <c r="D1139" s="1053">
        <v>2930</v>
      </c>
    </row>
    <row r="1140" spans="1:4">
      <c r="A1140" s="1050" t="s">
        <v>402</v>
      </c>
      <c r="B1140" s="1051" t="s">
        <v>401</v>
      </c>
      <c r="C1140" s="1052">
        <v>43414</v>
      </c>
      <c r="D1140" s="1053">
        <v>485.65</v>
      </c>
    </row>
    <row r="1141" spans="1:4">
      <c r="A1141" s="1050" t="s">
        <v>357</v>
      </c>
      <c r="B1141" s="1051" t="s">
        <v>378</v>
      </c>
      <c r="C1141" s="1052">
        <v>43417</v>
      </c>
      <c r="D1141" s="1053">
        <v>1175.58</v>
      </c>
    </row>
    <row r="1142" spans="1:4">
      <c r="A1142" s="1046" t="s">
        <v>396</v>
      </c>
      <c r="B1142" s="1047" t="s">
        <v>395</v>
      </c>
      <c r="C1142" s="1048">
        <v>43417</v>
      </c>
      <c r="D1142" s="1049">
        <v>800</v>
      </c>
    </row>
    <row r="1143" spans="1:4">
      <c r="A1143" s="1050" t="s">
        <v>361</v>
      </c>
      <c r="B1143" s="1051" t="s">
        <v>360</v>
      </c>
      <c r="C1143" s="1052">
        <v>43419</v>
      </c>
      <c r="D1143" s="1053">
        <v>1800</v>
      </c>
    </row>
    <row r="1144" spans="1:4">
      <c r="A1144" s="1050" t="s">
        <v>1112</v>
      </c>
      <c r="B1144" s="1051" t="s">
        <v>1111</v>
      </c>
      <c r="C1144" s="1052">
        <v>43424</v>
      </c>
      <c r="D1144" s="1053">
        <v>2931</v>
      </c>
    </row>
    <row r="1145" spans="1:4">
      <c r="A1145" s="1050" t="s">
        <v>357</v>
      </c>
      <c r="B1145" s="1051" t="s">
        <v>378</v>
      </c>
      <c r="C1145" s="1052">
        <v>43424</v>
      </c>
      <c r="D1145" s="1053">
        <v>1175</v>
      </c>
    </row>
    <row r="1146" spans="1:4">
      <c r="A1146" s="1050" t="s">
        <v>361</v>
      </c>
      <c r="B1146" s="1051" t="s">
        <v>360</v>
      </c>
      <c r="C1146" s="1052">
        <v>43429</v>
      </c>
      <c r="D1146" s="1053">
        <v>1526.25</v>
      </c>
    </row>
    <row r="1147" spans="1:4">
      <c r="A1147" s="1050" t="s">
        <v>359</v>
      </c>
      <c r="B1147" s="1051" t="s">
        <v>358</v>
      </c>
      <c r="C1147" s="1052">
        <v>43431</v>
      </c>
      <c r="D1147" s="1053">
        <v>14193.14</v>
      </c>
    </row>
    <row r="1148" spans="1:4">
      <c r="A1148" s="1050" t="s">
        <v>1112</v>
      </c>
      <c r="B1148" s="1051" t="s">
        <v>1111</v>
      </c>
      <c r="C1148" s="1052">
        <v>43434</v>
      </c>
      <c r="D1148" s="1053">
        <v>2932</v>
      </c>
    </row>
    <row r="1149" spans="1:4">
      <c r="A1149" s="1050" t="s">
        <v>1114</v>
      </c>
      <c r="B1149" s="1051" t="s">
        <v>1113</v>
      </c>
      <c r="C1149" s="1052">
        <v>43434</v>
      </c>
      <c r="D1149" s="1053">
        <v>3015.72</v>
      </c>
    </row>
    <row r="1150" spans="1:4">
      <c r="A1150" s="1050" t="s">
        <v>357</v>
      </c>
      <c r="B1150" s="1051" t="s">
        <v>378</v>
      </c>
      <c r="C1150" s="1052">
        <v>43434</v>
      </c>
      <c r="D1150" s="1053">
        <v>1175</v>
      </c>
    </row>
    <row r="1151" spans="1:4" ht="15.75" thickBot="1">
      <c r="A1151" s="1061" t="s">
        <v>361</v>
      </c>
      <c r="B1151" s="1062" t="s">
        <v>360</v>
      </c>
      <c r="C1151" s="1063">
        <v>43434</v>
      </c>
      <c r="D1151" s="1064">
        <v>1224.93</v>
      </c>
    </row>
    <row r="1152" spans="1:4" s="1044" customFormat="1" ht="15.75" thickBot="1">
      <c r="A1152" s="1069" t="s">
        <v>1323</v>
      </c>
      <c r="B1152" s="1070"/>
      <c r="C1152" s="1070"/>
      <c r="D1152" s="1071">
        <f>SUM(D1134:D1151)</f>
        <v>42007.500999999997</v>
      </c>
    </row>
    <row r="1153" spans="1:4">
      <c r="A1153" s="1065" t="s">
        <v>1112</v>
      </c>
      <c r="B1153" s="1066" t="s">
        <v>1111</v>
      </c>
      <c r="C1153" s="1067">
        <v>43449</v>
      </c>
      <c r="D1153" s="1068">
        <v>2933</v>
      </c>
    </row>
    <row r="1154" spans="1:4">
      <c r="A1154" s="1050" t="s">
        <v>361</v>
      </c>
      <c r="B1154" s="1051" t="s">
        <v>360</v>
      </c>
      <c r="C1154" s="1052">
        <v>43454</v>
      </c>
      <c r="D1154" s="1053">
        <v>1526.25</v>
      </c>
    </row>
    <row r="1155" spans="1:4">
      <c r="A1155" s="1050" t="s">
        <v>1112</v>
      </c>
      <c r="B1155" s="1051" t="s">
        <v>1111</v>
      </c>
      <c r="C1155" s="1052">
        <v>43459</v>
      </c>
      <c r="D1155" s="1053">
        <v>2941.09</v>
      </c>
    </row>
    <row r="1156" spans="1:4">
      <c r="A1156" s="1050" t="s">
        <v>361</v>
      </c>
      <c r="B1156" s="1051" t="s">
        <v>360</v>
      </c>
      <c r="C1156" s="1052">
        <v>43459</v>
      </c>
      <c r="D1156" s="1053">
        <v>1526.5</v>
      </c>
    </row>
    <row r="1157" spans="1:4" ht="15.75" thickBot="1">
      <c r="A1157" s="1061" t="s">
        <v>361</v>
      </c>
      <c r="B1157" s="1062" t="s">
        <v>360</v>
      </c>
      <c r="C1157" s="1063">
        <v>43465</v>
      </c>
      <c r="D1157" s="1064">
        <v>1526.99</v>
      </c>
    </row>
    <row r="1158" spans="1:4" s="1044" customFormat="1" ht="15.75" thickBot="1">
      <c r="A1158" s="1069" t="s">
        <v>1324</v>
      </c>
      <c r="B1158" s="1070"/>
      <c r="C1158" s="1070"/>
      <c r="D1158" s="1071">
        <f>SUM(D1153:D1157)</f>
        <v>10453.83</v>
      </c>
    </row>
    <row r="1159" spans="1:4" ht="15.75" thickBot="1"/>
    <row r="1160" spans="1:4" s="1044" customFormat="1" ht="15.75" thickBot="1">
      <c r="A1160" s="1069" t="s">
        <v>1318</v>
      </c>
      <c r="B1160" s="1070"/>
      <c r="C1160" s="1070"/>
      <c r="D1160" s="1071">
        <f>+D1158+D1152+D1133+D1008+D723+D336</f>
        <v>2057973.3969999999</v>
      </c>
    </row>
  </sheetData>
  <sortState ref="A2:D1153">
    <sortCondition ref="C2:C1153"/>
  </sortState>
  <mergeCells count="7">
    <mergeCell ref="A1152:C1152"/>
    <mergeCell ref="A1158:C1158"/>
    <mergeCell ref="A1160:C1160"/>
    <mergeCell ref="A336:C336"/>
    <mergeCell ref="A723:C723"/>
    <mergeCell ref="A1008:C1008"/>
    <mergeCell ref="A1133:C1133"/>
  </mergeCells>
  <pageMargins left="0.7" right="0.7" top="0.75" bottom="0.75" header="0.3" footer="0.3"/>
  <pageSetup paperSize="9"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15"/>
  <sheetViews>
    <sheetView topLeftCell="A64" workbookViewId="0">
      <selection activeCell="F92" sqref="F92"/>
    </sheetView>
  </sheetViews>
  <sheetFormatPr baseColWidth="10" defaultRowHeight="15"/>
  <cols>
    <col min="1" max="1" width="8.140625" style="575" bestFit="1" customWidth="1"/>
    <col min="2" max="2" width="27.140625" style="575" bestFit="1" customWidth="1"/>
    <col min="3" max="3" width="10.7109375" style="575" bestFit="1" customWidth="1"/>
    <col min="4" max="4" width="11" style="46" bestFit="1" customWidth="1"/>
    <col min="5" max="16384" width="11.42578125" style="575"/>
  </cols>
  <sheetData>
    <row r="1" spans="1:4" ht="15.75" thickBot="1">
      <c r="A1" s="1058" t="s">
        <v>1096</v>
      </c>
      <c r="B1" s="1059" t="s">
        <v>1035</v>
      </c>
      <c r="C1" s="1059" t="s">
        <v>1095</v>
      </c>
      <c r="D1" s="1060" t="s">
        <v>1094</v>
      </c>
    </row>
    <row r="2" spans="1:4">
      <c r="A2" s="1054" t="s">
        <v>1313</v>
      </c>
      <c r="B2" s="1055" t="s">
        <v>1314</v>
      </c>
      <c r="C2" s="1056">
        <v>43281</v>
      </c>
      <c r="D2" s="1057">
        <v>567.75099999999998</v>
      </c>
    </row>
    <row r="3" spans="1:4">
      <c r="A3" s="1046" t="s">
        <v>1249</v>
      </c>
      <c r="B3" s="1047" t="s">
        <v>1250</v>
      </c>
      <c r="C3" s="1048">
        <v>43283</v>
      </c>
      <c r="D3" s="1049">
        <v>11133.246999999999</v>
      </c>
    </row>
    <row r="4" spans="1:4">
      <c r="A4" s="1046" t="s">
        <v>1267</v>
      </c>
      <c r="B4" s="1047" t="s">
        <v>1268</v>
      </c>
      <c r="C4" s="1048">
        <v>43290</v>
      </c>
      <c r="D4" s="1049">
        <v>1197.989</v>
      </c>
    </row>
    <row r="5" spans="1:4">
      <c r="A5" s="1046" t="s">
        <v>1285</v>
      </c>
      <c r="B5" s="1047" t="s">
        <v>1286</v>
      </c>
      <c r="C5" s="1048">
        <v>43294</v>
      </c>
      <c r="D5" s="1049">
        <v>8013.027</v>
      </c>
    </row>
    <row r="6" spans="1:4">
      <c r="A6" s="1046" t="s">
        <v>1253</v>
      </c>
      <c r="B6" s="1047" t="s">
        <v>1254</v>
      </c>
      <c r="C6" s="1048">
        <v>43311</v>
      </c>
      <c r="D6" s="1049">
        <v>521.76099999999997</v>
      </c>
    </row>
    <row r="7" spans="1:4">
      <c r="A7" s="1046" t="s">
        <v>1313</v>
      </c>
      <c r="B7" s="1047" t="s">
        <v>1314</v>
      </c>
      <c r="C7" s="1048">
        <v>43312</v>
      </c>
      <c r="D7" s="1049">
        <v>567.75099999999998</v>
      </c>
    </row>
    <row r="8" spans="1:4">
      <c r="A8" s="1046" t="s">
        <v>1093</v>
      </c>
      <c r="B8" s="1047" t="s">
        <v>1092</v>
      </c>
      <c r="C8" s="1048">
        <v>43316</v>
      </c>
      <c r="D8" s="1049">
        <v>2014.549</v>
      </c>
    </row>
    <row r="9" spans="1:4">
      <c r="A9" s="1046" t="s">
        <v>1281</v>
      </c>
      <c r="B9" s="1047" t="s">
        <v>1282</v>
      </c>
      <c r="C9" s="1048">
        <v>43317</v>
      </c>
      <c r="D9" s="1049">
        <v>1236.7529999999999</v>
      </c>
    </row>
    <row r="10" spans="1:4">
      <c r="A10" s="1046" t="s">
        <v>1269</v>
      </c>
      <c r="B10" s="1047" t="s">
        <v>1270</v>
      </c>
      <c r="C10" s="1048">
        <v>43322</v>
      </c>
      <c r="D10" s="1049">
        <v>2855.3620000000001</v>
      </c>
    </row>
    <row r="11" spans="1:4">
      <c r="A11" s="1046" t="s">
        <v>1278</v>
      </c>
      <c r="B11" s="1047" t="s">
        <v>1279</v>
      </c>
      <c r="C11" s="1048">
        <v>43338</v>
      </c>
      <c r="D11" s="1049">
        <v>952.51599999999996</v>
      </c>
    </row>
    <row r="12" spans="1:4">
      <c r="A12" s="1046" t="s">
        <v>1263</v>
      </c>
      <c r="B12" s="1047" t="s">
        <v>1264</v>
      </c>
      <c r="C12" s="1048">
        <v>43342</v>
      </c>
      <c r="D12" s="1049">
        <v>4672.8990000000003</v>
      </c>
    </row>
    <row r="13" spans="1:4">
      <c r="A13" s="1046" t="s">
        <v>1251</v>
      </c>
      <c r="B13" s="1047" t="s">
        <v>1252</v>
      </c>
      <c r="C13" s="1048">
        <v>43343</v>
      </c>
      <c r="D13" s="1049">
        <v>2239.9259999999999</v>
      </c>
    </row>
    <row r="14" spans="1:4">
      <c r="A14" s="1046" t="s">
        <v>1272</v>
      </c>
      <c r="B14" s="1047" t="s">
        <v>1273</v>
      </c>
      <c r="C14" s="1048">
        <v>43343</v>
      </c>
      <c r="D14" s="1049">
        <v>1224.8389999999999</v>
      </c>
    </row>
    <row r="15" spans="1:4">
      <c r="A15" s="1046" t="s">
        <v>1091</v>
      </c>
      <c r="B15" s="1047" t="s">
        <v>1090</v>
      </c>
      <c r="C15" s="1048">
        <v>43343</v>
      </c>
      <c r="D15" s="1049">
        <v>5149.8559999999998</v>
      </c>
    </row>
    <row r="16" spans="1:4">
      <c r="A16" s="1046" t="s">
        <v>1293</v>
      </c>
      <c r="B16" s="1047" t="s">
        <v>1294</v>
      </c>
      <c r="C16" s="1048">
        <v>43343</v>
      </c>
      <c r="D16" s="1049">
        <v>1145.3130000000001</v>
      </c>
    </row>
    <row r="17" spans="1:4">
      <c r="A17" s="1046" t="s">
        <v>1311</v>
      </c>
      <c r="B17" s="1047" t="s">
        <v>1312</v>
      </c>
      <c r="C17" s="1048">
        <v>43343</v>
      </c>
      <c r="D17" s="1049">
        <v>1484.68</v>
      </c>
    </row>
    <row r="18" spans="1:4">
      <c r="A18" s="1046" t="s">
        <v>1255</v>
      </c>
      <c r="B18" s="1047" t="s">
        <v>1256</v>
      </c>
      <c r="C18" s="1048">
        <v>43344</v>
      </c>
      <c r="D18" s="1049">
        <v>2600</v>
      </c>
    </row>
    <row r="19" spans="1:4">
      <c r="A19" s="1046" t="s">
        <v>1079</v>
      </c>
      <c r="B19" s="1047" t="s">
        <v>1280</v>
      </c>
      <c r="C19" s="1048">
        <v>43348</v>
      </c>
      <c r="D19" s="1049">
        <v>2048.8870000000002</v>
      </c>
    </row>
    <row r="20" spans="1:4">
      <c r="A20" s="1046" t="s">
        <v>1309</v>
      </c>
      <c r="B20" s="1047" t="s">
        <v>1310</v>
      </c>
      <c r="C20" s="1048">
        <v>43355</v>
      </c>
      <c r="D20" s="1049">
        <v>8620.6020000000008</v>
      </c>
    </row>
    <row r="21" spans="1:4">
      <c r="A21" s="1046" t="s">
        <v>1291</v>
      </c>
      <c r="B21" s="1047" t="s">
        <v>1292</v>
      </c>
      <c r="C21" s="1048">
        <v>43358</v>
      </c>
      <c r="D21" s="1049">
        <v>778.61</v>
      </c>
    </row>
    <row r="22" spans="1:4">
      <c r="A22" s="1046" t="s">
        <v>1297</v>
      </c>
      <c r="B22" s="1047" t="s">
        <v>1298</v>
      </c>
      <c r="C22" s="1048">
        <v>43358</v>
      </c>
      <c r="D22" s="1049">
        <v>2416.4229999999998</v>
      </c>
    </row>
    <row r="23" spans="1:4">
      <c r="A23" s="1046" t="s">
        <v>1283</v>
      </c>
      <c r="B23" s="1047" t="s">
        <v>1284</v>
      </c>
      <c r="C23" s="1048">
        <v>43360</v>
      </c>
      <c r="D23" s="1049">
        <v>924.28800000000001</v>
      </c>
    </row>
    <row r="24" spans="1:4">
      <c r="A24" s="1046" t="s">
        <v>1255</v>
      </c>
      <c r="B24" s="1047" t="s">
        <v>1256</v>
      </c>
      <c r="C24" s="1048">
        <v>43363</v>
      </c>
      <c r="D24" s="1049">
        <v>2645.8209999999999</v>
      </c>
    </row>
    <row r="25" spans="1:4">
      <c r="A25" s="1046" t="s">
        <v>1299</v>
      </c>
      <c r="B25" s="1047" t="s">
        <v>1300</v>
      </c>
      <c r="C25" s="1048">
        <v>43366</v>
      </c>
      <c r="D25" s="1049">
        <v>681.726</v>
      </c>
    </row>
    <row r="26" spans="1:4">
      <c r="A26" s="1046" t="s">
        <v>1261</v>
      </c>
      <c r="B26" s="1047" t="s">
        <v>1262</v>
      </c>
      <c r="C26" s="1048">
        <v>43373</v>
      </c>
      <c r="D26" s="1049">
        <v>465.80099999999999</v>
      </c>
    </row>
    <row r="27" spans="1:4">
      <c r="A27" s="1046" t="s">
        <v>1265</v>
      </c>
      <c r="B27" s="1047" t="s">
        <v>1266</v>
      </c>
      <c r="C27" s="1048">
        <v>43373</v>
      </c>
      <c r="D27" s="1049">
        <v>1144.6669999999999</v>
      </c>
    </row>
    <row r="28" spans="1:4">
      <c r="A28" s="1046" t="s">
        <v>1274</v>
      </c>
      <c r="B28" s="1047" t="s">
        <v>1275</v>
      </c>
      <c r="C28" s="1048">
        <v>43373</v>
      </c>
      <c r="D28" s="1049">
        <v>5205.8450000000003</v>
      </c>
    </row>
    <row r="29" spans="1:4">
      <c r="A29" s="1046" t="s">
        <v>1276</v>
      </c>
      <c r="B29" s="1047" t="s">
        <v>1277</v>
      </c>
      <c r="C29" s="1048">
        <v>43373</v>
      </c>
      <c r="D29" s="1049">
        <v>1787.1869999999999</v>
      </c>
    </row>
    <row r="30" spans="1:4">
      <c r="A30" s="1046" t="s">
        <v>1083</v>
      </c>
      <c r="B30" s="1047" t="s">
        <v>1082</v>
      </c>
      <c r="C30" s="1048">
        <v>43373</v>
      </c>
      <c r="D30" s="1049">
        <v>4835.3860000000004</v>
      </c>
    </row>
    <row r="31" spans="1:4">
      <c r="A31" s="1046" t="s">
        <v>1089</v>
      </c>
      <c r="B31" s="1047" t="s">
        <v>1088</v>
      </c>
      <c r="C31" s="1048">
        <v>43373</v>
      </c>
      <c r="D31" s="1049">
        <v>3330.0830000000001</v>
      </c>
    </row>
    <row r="32" spans="1:4">
      <c r="A32" s="1046" t="s">
        <v>1295</v>
      </c>
      <c r="B32" s="1047" t="s">
        <v>1296</v>
      </c>
      <c r="C32" s="1048">
        <v>43373</v>
      </c>
      <c r="D32" s="1049">
        <v>576.05899999999997</v>
      </c>
    </row>
    <row r="33" spans="1:4">
      <c r="A33" s="1046" t="s">
        <v>1305</v>
      </c>
      <c r="B33" s="1047" t="s">
        <v>1306</v>
      </c>
      <c r="C33" s="1048">
        <v>43373</v>
      </c>
      <c r="D33" s="1049">
        <v>1128.5999999999999</v>
      </c>
    </row>
    <row r="34" spans="1:4">
      <c r="A34" s="1046" t="s">
        <v>1289</v>
      </c>
      <c r="B34" s="1047" t="s">
        <v>1290</v>
      </c>
      <c r="C34" s="1048">
        <v>43375</v>
      </c>
      <c r="D34" s="1049">
        <v>13633.273999999999</v>
      </c>
    </row>
    <row r="35" spans="1:4">
      <c r="A35" s="1046" t="s">
        <v>1301</v>
      </c>
      <c r="B35" s="1047" t="s">
        <v>1302</v>
      </c>
      <c r="C35" s="1048">
        <v>43376</v>
      </c>
      <c r="D35" s="1049">
        <v>2281.683</v>
      </c>
    </row>
    <row r="36" spans="1:4">
      <c r="A36" s="1050" t="s">
        <v>1038</v>
      </c>
      <c r="B36" s="1051" t="s">
        <v>1037</v>
      </c>
      <c r="C36" s="1052">
        <v>43378</v>
      </c>
      <c r="D36" s="1053">
        <v>10267.522000000001</v>
      </c>
    </row>
    <row r="37" spans="1:4">
      <c r="A37" s="1050" t="s">
        <v>1048</v>
      </c>
      <c r="B37" s="1051" t="s">
        <v>1047</v>
      </c>
      <c r="C37" s="1052">
        <v>43378</v>
      </c>
      <c r="D37" s="1053">
        <v>2384.85</v>
      </c>
    </row>
    <row r="38" spans="1:4">
      <c r="A38" s="1050" t="s">
        <v>1069</v>
      </c>
      <c r="B38" s="1051" t="s">
        <v>1241</v>
      </c>
      <c r="C38" s="1052">
        <v>43378</v>
      </c>
      <c r="D38" s="1053">
        <v>1610.0709999999999</v>
      </c>
    </row>
    <row r="39" spans="1:4">
      <c r="A39" s="1050" t="s">
        <v>1071</v>
      </c>
      <c r="B39" s="1051" t="s">
        <v>1070</v>
      </c>
      <c r="C39" s="1052">
        <v>43378</v>
      </c>
      <c r="D39" s="1053">
        <v>2213.0479999999998</v>
      </c>
    </row>
    <row r="40" spans="1:4">
      <c r="A40" s="1050" t="s">
        <v>1057</v>
      </c>
      <c r="B40" s="1051" t="s">
        <v>1056</v>
      </c>
      <c r="C40" s="1052">
        <v>43378</v>
      </c>
      <c r="D40" s="1053">
        <v>1324.569</v>
      </c>
    </row>
    <row r="41" spans="1:4">
      <c r="A41" s="1050" t="s">
        <v>1073</v>
      </c>
      <c r="B41" s="1051" t="s">
        <v>1072</v>
      </c>
      <c r="C41" s="1052">
        <v>43378</v>
      </c>
      <c r="D41" s="1053">
        <v>4753.3869999999997</v>
      </c>
    </row>
    <row r="42" spans="1:4">
      <c r="A42" s="1046" t="s">
        <v>1257</v>
      </c>
      <c r="B42" s="1047" t="s">
        <v>1258</v>
      </c>
      <c r="C42" s="1048">
        <v>43378</v>
      </c>
      <c r="D42" s="1049">
        <v>2459.855</v>
      </c>
    </row>
    <row r="43" spans="1:4">
      <c r="A43" s="1046" t="s">
        <v>1078</v>
      </c>
      <c r="B43" s="1047" t="s">
        <v>1271</v>
      </c>
      <c r="C43" s="1048">
        <v>43378</v>
      </c>
      <c r="D43" s="1049">
        <v>1800</v>
      </c>
    </row>
    <row r="44" spans="1:4">
      <c r="A44" s="1046" t="s">
        <v>1303</v>
      </c>
      <c r="B44" s="1047" t="s">
        <v>1304</v>
      </c>
      <c r="C44" s="1048">
        <v>43378</v>
      </c>
      <c r="D44" s="1049">
        <v>288.91199999999998</v>
      </c>
    </row>
    <row r="45" spans="1:4">
      <c r="A45" s="1050" t="s">
        <v>1046</v>
      </c>
      <c r="B45" s="1051" t="s">
        <v>1045</v>
      </c>
      <c r="C45" s="1052">
        <v>43380</v>
      </c>
      <c r="D45" s="1053">
        <v>3239.2440000000001</v>
      </c>
    </row>
    <row r="46" spans="1:4">
      <c r="A46" s="1050" t="s">
        <v>1068</v>
      </c>
      <c r="B46" s="1051" t="s">
        <v>1067</v>
      </c>
      <c r="C46" s="1052">
        <v>43380</v>
      </c>
      <c r="D46" s="1053">
        <v>1434.8340000000001</v>
      </c>
    </row>
    <row r="47" spans="1:4">
      <c r="A47" s="1050" t="s">
        <v>1040</v>
      </c>
      <c r="B47" s="1051" t="s">
        <v>1039</v>
      </c>
      <c r="C47" s="1052">
        <v>43380</v>
      </c>
      <c r="D47" s="1053">
        <v>915</v>
      </c>
    </row>
    <row r="48" spans="1:4">
      <c r="A48" s="1050" t="s">
        <v>1043</v>
      </c>
      <c r="B48" s="1051" t="s">
        <v>1042</v>
      </c>
      <c r="C48" s="1052">
        <v>43383</v>
      </c>
      <c r="D48" s="1053">
        <v>2362.0639999999999</v>
      </c>
    </row>
    <row r="49" spans="1:4">
      <c r="A49" s="1050" t="s">
        <v>1066</v>
      </c>
      <c r="B49" s="1051" t="s">
        <v>1065</v>
      </c>
      <c r="C49" s="1052">
        <v>43383</v>
      </c>
      <c r="D49" s="1053">
        <v>11377.418</v>
      </c>
    </row>
    <row r="50" spans="1:4">
      <c r="A50" s="1050" t="s">
        <v>1064</v>
      </c>
      <c r="B50" s="1051" t="s">
        <v>1063</v>
      </c>
      <c r="C50" s="1052">
        <v>43383</v>
      </c>
      <c r="D50" s="1053">
        <v>4187.415</v>
      </c>
    </row>
    <row r="51" spans="1:4">
      <c r="A51" s="1050" t="s">
        <v>1062</v>
      </c>
      <c r="B51" s="1051" t="s">
        <v>1061</v>
      </c>
      <c r="C51" s="1052">
        <v>43383</v>
      </c>
      <c r="D51" s="1053">
        <v>6281.7430000000004</v>
      </c>
    </row>
    <row r="52" spans="1:4">
      <c r="A52" s="1050" t="s">
        <v>1040</v>
      </c>
      <c r="B52" s="1051" t="s">
        <v>1039</v>
      </c>
      <c r="C52" s="1052">
        <v>43383</v>
      </c>
      <c r="D52" s="1053">
        <v>916</v>
      </c>
    </row>
    <row r="53" spans="1:4">
      <c r="A53" s="1050" t="s">
        <v>1057</v>
      </c>
      <c r="B53" s="1051" t="s">
        <v>1056</v>
      </c>
      <c r="C53" s="1052">
        <v>43383</v>
      </c>
      <c r="D53" s="1053">
        <v>1700</v>
      </c>
    </row>
    <row r="54" spans="1:4">
      <c r="A54" s="1050" t="s">
        <v>1052</v>
      </c>
      <c r="B54" s="1051" t="s">
        <v>1051</v>
      </c>
      <c r="C54" s="1052">
        <v>43383</v>
      </c>
      <c r="D54" s="1053">
        <v>2000</v>
      </c>
    </row>
    <row r="55" spans="1:4">
      <c r="A55" s="1046" t="s">
        <v>1085</v>
      </c>
      <c r="B55" s="1047" t="s">
        <v>1084</v>
      </c>
      <c r="C55" s="1048">
        <v>43383</v>
      </c>
      <c r="D55" s="1049">
        <v>987.87800000000004</v>
      </c>
    </row>
    <row r="56" spans="1:4">
      <c r="A56" s="1046" t="s">
        <v>1077</v>
      </c>
      <c r="B56" s="1047" t="s">
        <v>1076</v>
      </c>
      <c r="C56" s="1048">
        <v>43383</v>
      </c>
      <c r="D56" s="1049">
        <v>1670.828</v>
      </c>
    </row>
    <row r="57" spans="1:4">
      <c r="A57" s="1050" t="s">
        <v>1054</v>
      </c>
      <c r="B57" s="1051" t="s">
        <v>1053</v>
      </c>
      <c r="C57" s="1052">
        <v>43385</v>
      </c>
      <c r="D57" s="1053">
        <v>3728.4769999999999</v>
      </c>
    </row>
    <row r="58" spans="1:4">
      <c r="A58" s="1050" t="s">
        <v>1040</v>
      </c>
      <c r="B58" s="1051" t="s">
        <v>1039</v>
      </c>
      <c r="C58" s="1052">
        <v>43387</v>
      </c>
      <c r="D58" s="1053">
        <v>917</v>
      </c>
    </row>
    <row r="59" spans="1:4">
      <c r="A59" s="1050" t="s">
        <v>1060</v>
      </c>
      <c r="B59" s="1051" t="s">
        <v>1059</v>
      </c>
      <c r="C59" s="1052">
        <v>43388</v>
      </c>
      <c r="D59" s="1053">
        <v>2135.6660000000002</v>
      </c>
    </row>
    <row r="60" spans="1:4">
      <c r="A60" s="1050" t="s">
        <v>1057</v>
      </c>
      <c r="B60" s="1051" t="s">
        <v>1056</v>
      </c>
      <c r="C60" s="1052">
        <v>43388</v>
      </c>
      <c r="D60" s="1053">
        <v>1700</v>
      </c>
    </row>
    <row r="61" spans="1:4">
      <c r="A61" s="1050" t="s">
        <v>1242</v>
      </c>
      <c r="B61" s="1051" t="s">
        <v>1243</v>
      </c>
      <c r="C61" s="1052">
        <v>43388</v>
      </c>
      <c r="D61" s="1053">
        <v>2098.806</v>
      </c>
    </row>
    <row r="62" spans="1:4">
      <c r="A62" s="1050" t="s">
        <v>1040</v>
      </c>
      <c r="B62" s="1051" t="s">
        <v>1039</v>
      </c>
      <c r="C62" s="1052">
        <v>43391</v>
      </c>
      <c r="D62" s="1053">
        <v>918</v>
      </c>
    </row>
    <row r="63" spans="1:4">
      <c r="A63" s="1050" t="s">
        <v>1048</v>
      </c>
      <c r="B63" s="1051" t="s">
        <v>1047</v>
      </c>
      <c r="C63" s="1052">
        <v>43393</v>
      </c>
      <c r="D63" s="1053">
        <v>1917.3820000000001</v>
      </c>
    </row>
    <row r="64" spans="1:4">
      <c r="A64" s="1050" t="s">
        <v>1066</v>
      </c>
      <c r="B64" s="1051" t="s">
        <v>1065</v>
      </c>
      <c r="C64" s="1052">
        <v>43393</v>
      </c>
      <c r="D64" s="1053">
        <v>15225</v>
      </c>
    </row>
    <row r="65" spans="1:4">
      <c r="A65" s="1050" t="s">
        <v>1057</v>
      </c>
      <c r="B65" s="1051" t="s">
        <v>1056</v>
      </c>
      <c r="C65" s="1052">
        <v>43393</v>
      </c>
      <c r="D65" s="1053">
        <v>1700</v>
      </c>
    </row>
    <row r="66" spans="1:4">
      <c r="A66" s="1050" t="s">
        <v>1052</v>
      </c>
      <c r="B66" s="1051" t="s">
        <v>1051</v>
      </c>
      <c r="C66" s="1052">
        <v>43393</v>
      </c>
      <c r="D66" s="1053">
        <v>2000</v>
      </c>
    </row>
    <row r="67" spans="1:4">
      <c r="A67" s="1050" t="s">
        <v>1242</v>
      </c>
      <c r="B67" s="1051" t="s">
        <v>1243</v>
      </c>
      <c r="C67" s="1052">
        <v>43393</v>
      </c>
      <c r="D67" s="1053">
        <v>2098.806</v>
      </c>
    </row>
    <row r="68" spans="1:4">
      <c r="A68" s="1050" t="s">
        <v>1242</v>
      </c>
      <c r="B68" s="1051" t="s">
        <v>1243</v>
      </c>
      <c r="C68" s="1052">
        <v>43393</v>
      </c>
      <c r="D68" s="1053">
        <v>2098.806</v>
      </c>
    </row>
    <row r="69" spans="1:4">
      <c r="A69" s="1046" t="s">
        <v>1078</v>
      </c>
      <c r="B69" s="1047" t="s">
        <v>1271</v>
      </c>
      <c r="C69" s="1048">
        <v>43393</v>
      </c>
      <c r="D69" s="1049">
        <v>1800</v>
      </c>
    </row>
    <row r="70" spans="1:4">
      <c r="A70" s="1046" t="s">
        <v>1287</v>
      </c>
      <c r="B70" s="1047" t="s">
        <v>1288</v>
      </c>
      <c r="C70" s="1048">
        <v>43393</v>
      </c>
      <c r="D70" s="1049">
        <v>1417.682</v>
      </c>
    </row>
    <row r="71" spans="1:4">
      <c r="A71" s="1050" t="s">
        <v>1040</v>
      </c>
      <c r="B71" s="1051" t="s">
        <v>1039</v>
      </c>
      <c r="C71" s="1052">
        <v>43395</v>
      </c>
      <c r="D71" s="1053">
        <v>919</v>
      </c>
    </row>
    <row r="72" spans="1:4">
      <c r="A72" s="1046" t="s">
        <v>860</v>
      </c>
      <c r="B72" s="1047" t="s">
        <v>859</v>
      </c>
      <c r="C72" s="1048">
        <v>43395</v>
      </c>
      <c r="D72" s="1049">
        <v>3289.4389999999999</v>
      </c>
    </row>
    <row r="73" spans="1:4">
      <c r="A73" s="1050" t="s">
        <v>1057</v>
      </c>
      <c r="B73" s="1051" t="s">
        <v>1056</v>
      </c>
      <c r="C73" s="1052">
        <v>43397</v>
      </c>
      <c r="D73" s="1053">
        <v>1700</v>
      </c>
    </row>
    <row r="74" spans="1:4">
      <c r="A74" s="1050" t="s">
        <v>1244</v>
      </c>
      <c r="B74" s="1051" t="s">
        <v>1245</v>
      </c>
      <c r="C74" s="1052">
        <v>43398</v>
      </c>
      <c r="D74" s="1053">
        <v>707.90599999999995</v>
      </c>
    </row>
    <row r="75" spans="1:4">
      <c r="A75" s="1050" t="s">
        <v>1041</v>
      </c>
      <c r="B75" s="1051" t="s">
        <v>1058</v>
      </c>
      <c r="C75" s="1052">
        <v>43398</v>
      </c>
      <c r="D75" s="1053">
        <v>5555.3530000000001</v>
      </c>
    </row>
    <row r="76" spans="1:4">
      <c r="A76" s="1050" t="s">
        <v>1242</v>
      </c>
      <c r="B76" s="1051" t="s">
        <v>1243</v>
      </c>
      <c r="C76" s="1052">
        <v>43398</v>
      </c>
      <c r="D76" s="1053">
        <v>2098.806</v>
      </c>
    </row>
    <row r="77" spans="1:4">
      <c r="A77" s="1050" t="s">
        <v>1242</v>
      </c>
      <c r="B77" s="1051" t="s">
        <v>1243</v>
      </c>
      <c r="C77" s="1052">
        <v>43398</v>
      </c>
      <c r="D77" s="1053">
        <v>2098.806</v>
      </c>
    </row>
    <row r="78" spans="1:4">
      <c r="A78" s="1046" t="s">
        <v>1307</v>
      </c>
      <c r="B78" s="1047" t="s">
        <v>1308</v>
      </c>
      <c r="C78" s="1048">
        <v>43398</v>
      </c>
      <c r="D78" s="1049">
        <v>1393.9849999999999</v>
      </c>
    </row>
    <row r="79" spans="1:4">
      <c r="A79" s="1050" t="s">
        <v>1040</v>
      </c>
      <c r="B79" s="1051" t="s">
        <v>1039</v>
      </c>
      <c r="C79" s="1052">
        <v>43399</v>
      </c>
      <c r="D79" s="1053">
        <v>920</v>
      </c>
    </row>
    <row r="80" spans="1:4">
      <c r="A80" s="1046" t="s">
        <v>1081</v>
      </c>
      <c r="B80" s="1047" t="s">
        <v>1080</v>
      </c>
      <c r="C80" s="1048">
        <v>43401</v>
      </c>
      <c r="D80" s="1049">
        <v>6914.6369999999997</v>
      </c>
    </row>
    <row r="81" spans="1:4">
      <c r="A81" s="1050" t="s">
        <v>1057</v>
      </c>
      <c r="B81" s="1051" t="s">
        <v>1056</v>
      </c>
      <c r="C81" s="1052">
        <v>43402</v>
      </c>
      <c r="D81" s="1053">
        <v>1700</v>
      </c>
    </row>
    <row r="82" spans="1:4">
      <c r="A82" s="1050" t="s">
        <v>1055</v>
      </c>
      <c r="B82" s="1051" t="s">
        <v>1246</v>
      </c>
      <c r="C82" s="1052">
        <v>43403</v>
      </c>
      <c r="D82" s="1053">
        <v>1782.268</v>
      </c>
    </row>
    <row r="83" spans="1:4">
      <c r="A83" s="1046" t="s">
        <v>1078</v>
      </c>
      <c r="B83" s="1047" t="s">
        <v>1271</v>
      </c>
      <c r="C83" s="1048">
        <v>43403</v>
      </c>
      <c r="D83" s="1049">
        <v>1724.606</v>
      </c>
    </row>
    <row r="84" spans="1:4">
      <c r="A84" s="1046" t="s">
        <v>1083</v>
      </c>
      <c r="B84" s="1047" t="s">
        <v>1082</v>
      </c>
      <c r="C84" s="1048">
        <v>43403</v>
      </c>
      <c r="D84" s="1049">
        <v>5000</v>
      </c>
    </row>
    <row r="85" spans="1:4">
      <c r="A85" s="1050" t="s">
        <v>1247</v>
      </c>
      <c r="B85" s="1051" t="s">
        <v>1248</v>
      </c>
      <c r="C85" s="1052">
        <v>43404</v>
      </c>
      <c r="D85" s="1053">
        <v>2644.1410000000001</v>
      </c>
    </row>
    <row r="86" spans="1:4">
      <c r="A86" s="1050" t="s">
        <v>1054</v>
      </c>
      <c r="B86" s="1051" t="s">
        <v>1053</v>
      </c>
      <c r="C86" s="1052">
        <v>43404</v>
      </c>
      <c r="D86" s="1053">
        <v>3700</v>
      </c>
    </row>
    <row r="87" spans="1:4">
      <c r="A87" s="1050" t="s">
        <v>1040</v>
      </c>
      <c r="B87" s="1051" t="s">
        <v>1039</v>
      </c>
      <c r="C87" s="1052">
        <v>43404</v>
      </c>
      <c r="D87" s="1053">
        <v>906.21100000000001</v>
      </c>
    </row>
    <row r="88" spans="1:4">
      <c r="A88" s="1050" t="s">
        <v>1052</v>
      </c>
      <c r="B88" s="1051" t="s">
        <v>1051</v>
      </c>
      <c r="C88" s="1052">
        <v>43404</v>
      </c>
      <c r="D88" s="1053">
        <v>2000</v>
      </c>
    </row>
    <row r="89" spans="1:4">
      <c r="A89" s="1046" t="s">
        <v>1259</v>
      </c>
      <c r="B89" s="1047" t="s">
        <v>1260</v>
      </c>
      <c r="C89" s="1048">
        <v>43404</v>
      </c>
      <c r="D89" s="1049">
        <v>469.84</v>
      </c>
    </row>
    <row r="90" spans="1:4">
      <c r="A90" s="1046" t="s">
        <v>1075</v>
      </c>
      <c r="B90" s="1047" t="s">
        <v>1074</v>
      </c>
      <c r="C90" s="1048">
        <v>43404</v>
      </c>
      <c r="D90" s="1049">
        <v>16312.321</v>
      </c>
    </row>
    <row r="91" spans="1:4" ht="15.75" thickBot="1">
      <c r="A91" s="1072" t="s">
        <v>1077</v>
      </c>
      <c r="B91" s="1073" t="s">
        <v>1076</v>
      </c>
      <c r="C91" s="1074">
        <v>43404</v>
      </c>
      <c r="D91" s="1075">
        <v>2000</v>
      </c>
    </row>
    <row r="92" spans="1:4" s="1042" customFormat="1" ht="15.75" thickBot="1">
      <c r="A92" s="1076" t="s">
        <v>1316</v>
      </c>
      <c r="B92" s="1077"/>
      <c r="C92" s="1077"/>
      <c r="D92" s="1078">
        <f>SUM(D2:D91)</f>
        <v>267850.74300000013</v>
      </c>
    </row>
    <row r="93" spans="1:4">
      <c r="A93" s="1065" t="s">
        <v>1048</v>
      </c>
      <c r="B93" s="1066" t="s">
        <v>1047</v>
      </c>
      <c r="C93" s="1067">
        <v>43409</v>
      </c>
      <c r="D93" s="1068">
        <v>1917.3820000000001</v>
      </c>
    </row>
    <row r="94" spans="1:4">
      <c r="A94" s="1050" t="s">
        <v>1050</v>
      </c>
      <c r="B94" s="1051" t="s">
        <v>1049</v>
      </c>
      <c r="C94" s="1052">
        <v>43409</v>
      </c>
      <c r="D94" s="1053">
        <v>2796.6970000000001</v>
      </c>
    </row>
    <row r="95" spans="1:4">
      <c r="A95" s="1050" t="s">
        <v>1046</v>
      </c>
      <c r="B95" s="1051" t="s">
        <v>1045</v>
      </c>
      <c r="C95" s="1052">
        <v>43412</v>
      </c>
      <c r="D95" s="1053">
        <v>3932.8620000000001</v>
      </c>
    </row>
    <row r="96" spans="1:4">
      <c r="A96" s="1050" t="s">
        <v>1040</v>
      </c>
      <c r="B96" s="1051" t="s">
        <v>1039</v>
      </c>
      <c r="C96" s="1052">
        <v>43413</v>
      </c>
      <c r="D96" s="1053">
        <v>970</v>
      </c>
    </row>
    <row r="97" spans="1:4">
      <c r="A97" s="1046" t="s">
        <v>1062</v>
      </c>
      <c r="B97" s="1047" t="s">
        <v>1061</v>
      </c>
      <c r="C97" s="1048">
        <v>43414</v>
      </c>
      <c r="D97" s="1049">
        <v>9352.5550000000003</v>
      </c>
    </row>
    <row r="98" spans="1:4">
      <c r="A98" s="1050" t="s">
        <v>1044</v>
      </c>
      <c r="B98" s="1051" t="s">
        <v>459</v>
      </c>
      <c r="C98" s="1052">
        <v>43415</v>
      </c>
      <c r="D98" s="1053">
        <v>1654.8230000000001</v>
      </c>
    </row>
    <row r="99" spans="1:4">
      <c r="A99" s="1050" t="s">
        <v>1066</v>
      </c>
      <c r="B99" s="1051" t="s">
        <v>1065</v>
      </c>
      <c r="C99" s="1052">
        <v>43415</v>
      </c>
      <c r="D99" s="1053">
        <v>15225</v>
      </c>
    </row>
    <row r="100" spans="1:4">
      <c r="A100" s="1050" t="s">
        <v>1040</v>
      </c>
      <c r="B100" s="1051" t="s">
        <v>1039</v>
      </c>
      <c r="C100" s="1052">
        <v>43416</v>
      </c>
      <c r="D100" s="1053">
        <v>971</v>
      </c>
    </row>
    <row r="101" spans="1:4">
      <c r="A101" s="1050" t="s">
        <v>1043</v>
      </c>
      <c r="B101" s="1051" t="s">
        <v>1042</v>
      </c>
      <c r="C101" s="1052">
        <v>43419</v>
      </c>
      <c r="D101" s="1053">
        <v>2725.4879999999998</v>
      </c>
    </row>
    <row r="102" spans="1:4">
      <c r="A102" s="1050" t="s">
        <v>1040</v>
      </c>
      <c r="B102" s="1051" t="s">
        <v>1039</v>
      </c>
      <c r="C102" s="1052">
        <v>43419</v>
      </c>
      <c r="D102" s="1053">
        <v>972</v>
      </c>
    </row>
    <row r="103" spans="1:4">
      <c r="A103" s="1050" t="s">
        <v>1066</v>
      </c>
      <c r="B103" s="1051" t="s">
        <v>1065</v>
      </c>
      <c r="C103" s="1052">
        <v>43420</v>
      </c>
      <c r="D103" s="1053">
        <v>15230.683000000001</v>
      </c>
    </row>
    <row r="104" spans="1:4">
      <c r="A104" s="1050" t="s">
        <v>1040</v>
      </c>
      <c r="B104" s="1051" t="s">
        <v>1039</v>
      </c>
      <c r="C104" s="1052">
        <v>43422</v>
      </c>
      <c r="D104" s="1053">
        <v>973</v>
      </c>
    </row>
    <row r="105" spans="1:4">
      <c r="A105" s="1050" t="s">
        <v>1040</v>
      </c>
      <c r="B105" s="1051" t="s">
        <v>1039</v>
      </c>
      <c r="C105" s="1052">
        <v>43425</v>
      </c>
      <c r="D105" s="1053">
        <v>974</v>
      </c>
    </row>
    <row r="106" spans="1:4">
      <c r="A106" s="1050" t="s">
        <v>1040</v>
      </c>
      <c r="B106" s="1051" t="s">
        <v>1039</v>
      </c>
      <c r="C106" s="1052">
        <v>43428</v>
      </c>
      <c r="D106" s="1053">
        <v>975</v>
      </c>
    </row>
    <row r="107" spans="1:4">
      <c r="A107" s="1050" t="s">
        <v>1041</v>
      </c>
      <c r="B107" s="1051" t="s">
        <v>1058</v>
      </c>
      <c r="C107" s="1052">
        <v>43429</v>
      </c>
      <c r="D107" s="1053">
        <v>5715.7020000000002</v>
      </c>
    </row>
    <row r="108" spans="1:4">
      <c r="A108" s="1050" t="s">
        <v>1040</v>
      </c>
      <c r="B108" s="1051" t="s">
        <v>1039</v>
      </c>
      <c r="C108" s="1052">
        <v>43431</v>
      </c>
      <c r="D108" s="1053">
        <v>976</v>
      </c>
    </row>
    <row r="109" spans="1:4">
      <c r="A109" s="1050" t="s">
        <v>1040</v>
      </c>
      <c r="B109" s="1051" t="s">
        <v>1039</v>
      </c>
      <c r="C109" s="1052">
        <v>43434</v>
      </c>
      <c r="D109" s="1053">
        <v>980.71</v>
      </c>
    </row>
    <row r="110" spans="1:4">
      <c r="A110" s="1050" t="s">
        <v>1038</v>
      </c>
      <c r="B110" s="1051" t="s">
        <v>1037</v>
      </c>
      <c r="C110" s="1052">
        <v>43439</v>
      </c>
      <c r="D110" s="1053">
        <v>11329.109</v>
      </c>
    </row>
    <row r="111" spans="1:4">
      <c r="A111" s="1046" t="s">
        <v>1046</v>
      </c>
      <c r="B111" s="1047" t="s">
        <v>1045</v>
      </c>
      <c r="C111" s="1048">
        <v>43442</v>
      </c>
      <c r="D111" s="1049">
        <v>6756.3959999999997</v>
      </c>
    </row>
    <row r="112" spans="1:4" ht="15.75" thickBot="1">
      <c r="A112" s="1061" t="s">
        <v>1087</v>
      </c>
      <c r="B112" s="1062" t="s">
        <v>1086</v>
      </c>
      <c r="C112" s="1063">
        <v>44073</v>
      </c>
      <c r="D112" s="1064">
        <v>5338.9139999999998</v>
      </c>
    </row>
    <row r="113" spans="1:4" s="1044" customFormat="1" ht="15.75" thickBot="1">
      <c r="A113" s="1069" t="s">
        <v>1317</v>
      </c>
      <c r="B113" s="1070"/>
      <c r="C113" s="1070"/>
      <c r="D113" s="1071">
        <f>SUM(D93:D112)</f>
        <v>89767.320999999996</v>
      </c>
    </row>
    <row r="114" spans="1:4" ht="15.75" thickBot="1">
      <c r="A114" s="1043"/>
    </row>
    <row r="115" spans="1:4" s="1044" customFormat="1" ht="15.75" thickBot="1">
      <c r="A115" s="1069" t="s">
        <v>1318</v>
      </c>
      <c r="B115" s="1070"/>
      <c r="C115" s="1070"/>
      <c r="D115" s="1071">
        <f>D113+D92</f>
        <v>357618.06400000013</v>
      </c>
    </row>
  </sheetData>
  <sortState ref="A2:M111">
    <sortCondition ref="C2:C111"/>
  </sortState>
  <mergeCells count="3">
    <mergeCell ref="A92:C92"/>
    <mergeCell ref="A113:C113"/>
    <mergeCell ref="A115:C115"/>
  </mergeCells>
  <pageMargins left="0.7" right="0.7" top="0.75" bottom="0.75" header="0.3" footer="0.3"/>
  <pageSetup paperSize="9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6"/>
  <sheetViews>
    <sheetView workbookViewId="0">
      <selection activeCell="P17" sqref="P17"/>
    </sheetView>
  </sheetViews>
  <sheetFormatPr baseColWidth="10" defaultRowHeight="15"/>
  <cols>
    <col min="1" max="1" width="10.140625" style="864" bestFit="1" customWidth="1"/>
    <col min="2" max="2" width="17.28515625" style="864" bestFit="1" customWidth="1"/>
    <col min="3" max="3" width="3.5703125" style="864" bestFit="1" customWidth="1"/>
    <col min="4" max="4" width="10.140625" style="864" bestFit="1" customWidth="1"/>
    <col min="5" max="5" width="6.42578125" style="864" bestFit="1" customWidth="1"/>
    <col min="6" max="7" width="9.85546875" style="864" bestFit="1" customWidth="1"/>
    <col min="8" max="8" width="11" style="864" bestFit="1" customWidth="1"/>
    <col min="9" max="9" width="6.85546875" style="865" bestFit="1" customWidth="1"/>
    <col min="10" max="10" width="16.85546875" style="864" bestFit="1" customWidth="1"/>
    <col min="11" max="11" width="11.42578125" style="892"/>
    <col min="12" max="16384" width="11.42578125" style="864"/>
  </cols>
  <sheetData>
    <row r="1" spans="1:17">
      <c r="D1" s="888" t="s">
        <v>1100</v>
      </c>
      <c r="E1" s="889" t="s">
        <v>1101</v>
      </c>
      <c r="F1" s="889" t="s">
        <v>1102</v>
      </c>
      <c r="G1" s="890" t="s">
        <v>1103</v>
      </c>
      <c r="H1" s="891" t="s">
        <v>1104</v>
      </c>
    </row>
    <row r="3" spans="1:17">
      <c r="A3" s="869">
        <v>43166</v>
      </c>
      <c r="B3" s="870" t="s">
        <v>302</v>
      </c>
      <c r="C3" s="871" t="s">
        <v>195</v>
      </c>
      <c r="D3" s="872">
        <v>35500</v>
      </c>
      <c r="E3" s="873">
        <v>1.45</v>
      </c>
      <c r="F3" s="873">
        <f>D3*E3</f>
        <v>51475</v>
      </c>
      <c r="G3" s="873">
        <f>+F3*0.19</f>
        <v>9780.25</v>
      </c>
      <c r="H3" s="873">
        <f>+G3+F3</f>
        <v>61255.25</v>
      </c>
      <c r="I3" s="874" t="s">
        <v>1097</v>
      </c>
      <c r="J3" s="875" t="s">
        <v>1098</v>
      </c>
      <c r="K3" s="893">
        <v>43190</v>
      </c>
    </row>
    <row r="4" spans="1:17">
      <c r="A4" s="866"/>
      <c r="B4" s="307"/>
      <c r="C4" s="304"/>
      <c r="D4" s="305"/>
      <c r="E4" s="302"/>
      <c r="F4" s="302"/>
      <c r="G4" s="302"/>
      <c r="H4" s="302"/>
      <c r="I4" s="867"/>
      <c r="J4" s="868"/>
    </row>
    <row r="5" spans="1:17">
      <c r="A5" s="876">
        <v>43188</v>
      </c>
      <c r="B5" s="877" t="s">
        <v>302</v>
      </c>
      <c r="C5" s="878" t="s">
        <v>195</v>
      </c>
      <c r="D5" s="879">
        <v>38500</v>
      </c>
      <c r="E5" s="880">
        <v>1.45</v>
      </c>
      <c r="F5" s="880">
        <f>D5*E5</f>
        <v>55825</v>
      </c>
      <c r="G5" s="880">
        <f>+F5*0.19</f>
        <v>10606.75</v>
      </c>
      <c r="H5" s="880">
        <f>+G5+F5</f>
        <v>66431.75</v>
      </c>
      <c r="I5" s="1036" t="s">
        <v>1097</v>
      </c>
      <c r="J5" s="1039" t="s">
        <v>45</v>
      </c>
      <c r="K5" s="1033">
        <v>43251</v>
      </c>
    </row>
    <row r="6" spans="1:17">
      <c r="A6" s="881">
        <v>43234</v>
      </c>
      <c r="B6" s="882" t="s">
        <v>302</v>
      </c>
      <c r="C6" s="883" t="s">
        <v>195</v>
      </c>
      <c r="D6" s="884">
        <v>32240</v>
      </c>
      <c r="E6" s="885">
        <v>1.45</v>
      </c>
      <c r="F6" s="885">
        <f>D6*E6</f>
        <v>46748</v>
      </c>
      <c r="G6" s="885">
        <f>+F6*0.19</f>
        <v>8882.1200000000008</v>
      </c>
      <c r="H6" s="885">
        <f>+G6+F6</f>
        <v>55630.12</v>
      </c>
      <c r="I6" s="1037"/>
      <c r="J6" s="1040"/>
      <c r="K6" s="1034"/>
      <c r="O6" s="902"/>
      <c r="P6" s="902"/>
      <c r="Q6" s="902"/>
    </row>
    <row r="7" spans="1:17">
      <c r="A7" s="866"/>
      <c r="B7" s="307"/>
      <c r="C7" s="304"/>
      <c r="D7" s="305"/>
      <c r="E7" s="302"/>
      <c r="F7" s="302"/>
      <c r="G7" s="302"/>
      <c r="H7" s="302"/>
      <c r="I7" s="867"/>
      <c r="J7" s="867"/>
    </row>
    <row r="8" spans="1:17">
      <c r="A8" s="869">
        <v>43216</v>
      </c>
      <c r="B8" s="870" t="s">
        <v>208</v>
      </c>
      <c r="C8" s="871" t="s">
        <v>195</v>
      </c>
      <c r="D8" s="872">
        <f>41480-5000</f>
        <v>36480</v>
      </c>
      <c r="E8" s="873">
        <v>1.7</v>
      </c>
      <c r="F8" s="873">
        <f>D8*E8</f>
        <v>62016</v>
      </c>
      <c r="G8" s="873">
        <f>+F8*0.19</f>
        <v>11783.04</v>
      </c>
      <c r="H8" s="873">
        <f>+G8+F8</f>
        <v>73799.040000000008</v>
      </c>
      <c r="I8" s="874" t="s">
        <v>1097</v>
      </c>
      <c r="J8" s="886" t="s">
        <v>45</v>
      </c>
      <c r="K8" s="893">
        <v>43220</v>
      </c>
    </row>
    <row r="9" spans="1:17">
      <c r="A9" s="866"/>
      <c r="B9" s="307"/>
      <c r="C9" s="304"/>
      <c r="D9" s="305"/>
      <c r="E9" s="302"/>
      <c r="F9" s="302"/>
      <c r="G9" s="302"/>
      <c r="H9" s="302"/>
      <c r="I9" s="867"/>
      <c r="J9" s="867"/>
    </row>
    <row r="10" spans="1:17">
      <c r="A10" s="876">
        <v>43235</v>
      </c>
      <c r="B10" s="877" t="s">
        <v>208</v>
      </c>
      <c r="C10" s="878" t="s">
        <v>195</v>
      </c>
      <c r="D10" s="879">
        <v>42440</v>
      </c>
      <c r="E10" s="880">
        <v>1.7</v>
      </c>
      <c r="F10" s="880">
        <f>D10*E10</f>
        <v>72148</v>
      </c>
      <c r="G10" s="880">
        <f>+F10*0.19</f>
        <v>13708.12</v>
      </c>
      <c r="H10" s="880">
        <f>+G10+F10</f>
        <v>85856.12</v>
      </c>
      <c r="I10" s="1036" t="s">
        <v>1099</v>
      </c>
      <c r="J10" s="1039" t="s">
        <v>45</v>
      </c>
      <c r="K10" s="1033">
        <v>43266</v>
      </c>
    </row>
    <row r="11" spans="1:17">
      <c r="A11" s="881">
        <v>43255</v>
      </c>
      <c r="B11" s="882" t="s">
        <v>208</v>
      </c>
      <c r="C11" s="883" t="s">
        <v>195</v>
      </c>
      <c r="D11" s="884">
        <v>42080</v>
      </c>
      <c r="E11" s="885">
        <v>1.7</v>
      </c>
      <c r="F11" s="885">
        <f>D11*E11</f>
        <v>71536</v>
      </c>
      <c r="G11" s="885">
        <f>+F11*0.19</f>
        <v>13591.84</v>
      </c>
      <c r="H11" s="885">
        <f>+G11+F11</f>
        <v>85127.84</v>
      </c>
      <c r="I11" s="1037"/>
      <c r="J11" s="1040"/>
      <c r="K11" s="1034"/>
    </row>
    <row r="12" spans="1:17">
      <c r="A12" s="866"/>
      <c r="B12" s="307"/>
      <c r="C12" s="304"/>
      <c r="D12" s="305"/>
      <c r="E12" s="302"/>
      <c r="F12" s="302"/>
      <c r="G12" s="302"/>
      <c r="H12" s="302"/>
      <c r="I12" s="867"/>
      <c r="J12" s="867"/>
    </row>
    <row r="13" spans="1:17">
      <c r="A13" s="869">
        <v>43273</v>
      </c>
      <c r="B13" s="870" t="s">
        <v>198</v>
      </c>
      <c r="C13" s="871" t="s">
        <v>195</v>
      </c>
      <c r="D13" s="872">
        <v>2435</v>
      </c>
      <c r="E13" s="873">
        <v>33</v>
      </c>
      <c r="F13" s="873">
        <f>D13*E13</f>
        <v>80355</v>
      </c>
      <c r="G13" s="873">
        <f>+F13*0.19</f>
        <v>15267.45</v>
      </c>
      <c r="H13" s="873">
        <f>+G13+F13</f>
        <v>95622.45</v>
      </c>
      <c r="I13" s="874" t="s">
        <v>1099</v>
      </c>
      <c r="J13" s="886" t="s">
        <v>45</v>
      </c>
      <c r="K13" s="893">
        <v>43281</v>
      </c>
    </row>
    <row r="14" spans="1:17">
      <c r="A14" s="866"/>
      <c r="B14" s="307"/>
      <c r="C14" s="304"/>
      <c r="D14" s="305"/>
      <c r="E14" s="302"/>
      <c r="F14" s="302"/>
      <c r="G14" s="302"/>
      <c r="H14" s="302"/>
      <c r="I14" s="867"/>
      <c r="J14" s="867"/>
    </row>
    <row r="15" spans="1:17">
      <c r="A15" s="876">
        <v>43242</v>
      </c>
      <c r="B15" s="877" t="s">
        <v>197</v>
      </c>
      <c r="C15" s="878" t="s">
        <v>195</v>
      </c>
      <c r="D15" s="879">
        <v>6151</v>
      </c>
      <c r="E15" s="880">
        <v>4.4000000000000004</v>
      </c>
      <c r="F15" s="880">
        <f t="shared" ref="F15:F23" si="0">D15*E15</f>
        <v>27064.400000000001</v>
      </c>
      <c r="G15" s="880">
        <f>+F15*0.19</f>
        <v>5142.2360000000008</v>
      </c>
      <c r="H15" s="880">
        <f t="shared" ref="H15:H23" si="1">+G15+F15</f>
        <v>32206.636000000002</v>
      </c>
      <c r="I15" s="1036" t="s">
        <v>1099</v>
      </c>
      <c r="J15" s="1039" t="s">
        <v>45</v>
      </c>
      <c r="K15" s="1033">
        <v>43281</v>
      </c>
    </row>
    <row r="16" spans="1:17">
      <c r="A16" s="887">
        <v>43249</v>
      </c>
      <c r="B16" s="307" t="s">
        <v>197</v>
      </c>
      <c r="C16" s="304" t="s">
        <v>195</v>
      </c>
      <c r="D16" s="305">
        <v>5902</v>
      </c>
      <c r="E16" s="302">
        <v>4.4000000000000004</v>
      </c>
      <c r="F16" s="302">
        <f t="shared" si="0"/>
        <v>25968.800000000003</v>
      </c>
      <c r="G16" s="302">
        <f>+F16*0.19</f>
        <v>4934.072000000001</v>
      </c>
      <c r="H16" s="302">
        <f t="shared" si="1"/>
        <v>30902.872000000003</v>
      </c>
      <c r="I16" s="1038"/>
      <c r="J16" s="1041"/>
      <c r="K16" s="1035"/>
    </row>
    <row r="17" spans="1:16">
      <c r="A17" s="887">
        <v>43271</v>
      </c>
      <c r="B17" s="307" t="s">
        <v>197</v>
      </c>
      <c r="C17" s="304" t="s">
        <v>195</v>
      </c>
      <c r="D17" s="305">
        <v>4005</v>
      </c>
      <c r="E17" s="302">
        <v>4.4000000000000004</v>
      </c>
      <c r="F17" s="302">
        <f t="shared" si="0"/>
        <v>17622</v>
      </c>
      <c r="G17" s="302">
        <f t="shared" ref="G17:G23" si="2">+F17*0.19</f>
        <v>3348.18</v>
      </c>
      <c r="H17" s="302">
        <f t="shared" si="1"/>
        <v>20970.18</v>
      </c>
      <c r="I17" s="1038"/>
      <c r="J17" s="1041"/>
      <c r="K17" s="1035"/>
    </row>
    <row r="18" spans="1:16">
      <c r="A18" s="887">
        <v>43273</v>
      </c>
      <c r="B18" s="307" t="s">
        <v>197</v>
      </c>
      <c r="C18" s="304" t="s">
        <v>195</v>
      </c>
      <c r="D18" s="305">
        <v>7807</v>
      </c>
      <c r="E18" s="302">
        <v>4.4000000000000004</v>
      </c>
      <c r="F18" s="302">
        <f t="shared" si="0"/>
        <v>34350.800000000003</v>
      </c>
      <c r="G18" s="302">
        <f t="shared" si="2"/>
        <v>6526.652000000001</v>
      </c>
      <c r="H18" s="302">
        <f t="shared" si="1"/>
        <v>40877.452000000005</v>
      </c>
      <c r="I18" s="1038"/>
      <c r="J18" s="1041"/>
      <c r="K18" s="1035"/>
    </row>
    <row r="19" spans="1:16">
      <c r="A19" s="887">
        <v>43273</v>
      </c>
      <c r="B19" s="307" t="s">
        <v>197</v>
      </c>
      <c r="C19" s="304" t="s">
        <v>195</v>
      </c>
      <c r="D19" s="305">
        <v>3845</v>
      </c>
      <c r="E19" s="302">
        <v>4.4000000000000004</v>
      </c>
      <c r="F19" s="302">
        <f t="shared" si="0"/>
        <v>16918</v>
      </c>
      <c r="G19" s="302">
        <f t="shared" si="2"/>
        <v>3214.42</v>
      </c>
      <c r="H19" s="302">
        <f t="shared" si="1"/>
        <v>20132.419999999998</v>
      </c>
      <c r="I19" s="1038"/>
      <c r="J19" s="1041"/>
      <c r="K19" s="1035"/>
    </row>
    <row r="20" spans="1:16">
      <c r="A20" s="887">
        <v>43256</v>
      </c>
      <c r="B20" s="307" t="s">
        <v>197</v>
      </c>
      <c r="C20" s="304" t="s">
        <v>195</v>
      </c>
      <c r="D20" s="305">
        <v>4240</v>
      </c>
      <c r="E20" s="302">
        <v>4.4000000000000004</v>
      </c>
      <c r="F20" s="302">
        <f t="shared" si="0"/>
        <v>18656</v>
      </c>
      <c r="G20" s="302">
        <f t="shared" si="2"/>
        <v>3544.64</v>
      </c>
      <c r="H20" s="302">
        <f t="shared" si="1"/>
        <v>22200.639999999999</v>
      </c>
      <c r="I20" s="1038"/>
      <c r="J20" s="1041"/>
      <c r="K20" s="1035"/>
    </row>
    <row r="21" spans="1:16">
      <c r="A21" s="887">
        <v>43277</v>
      </c>
      <c r="B21" s="307" t="s">
        <v>197</v>
      </c>
      <c r="C21" s="304" t="s">
        <v>195</v>
      </c>
      <c r="D21" s="305">
        <v>2259</v>
      </c>
      <c r="E21" s="302">
        <v>4.4000000000000004</v>
      </c>
      <c r="F21" s="302">
        <f t="shared" si="0"/>
        <v>9939.6</v>
      </c>
      <c r="G21" s="302">
        <f t="shared" si="2"/>
        <v>1888.5240000000001</v>
      </c>
      <c r="H21" s="302">
        <f t="shared" si="1"/>
        <v>11828.124</v>
      </c>
      <c r="I21" s="1038"/>
      <c r="J21" s="1041"/>
      <c r="K21" s="1035"/>
    </row>
    <row r="22" spans="1:16">
      <c r="A22" s="887">
        <v>43278</v>
      </c>
      <c r="B22" s="307" t="s">
        <v>197</v>
      </c>
      <c r="C22" s="304" t="s">
        <v>195</v>
      </c>
      <c r="D22" s="305">
        <v>1993</v>
      </c>
      <c r="E22" s="302">
        <v>4.4000000000000004</v>
      </c>
      <c r="F22" s="302">
        <f t="shared" si="0"/>
        <v>8769.2000000000007</v>
      </c>
      <c r="G22" s="302">
        <f t="shared" si="2"/>
        <v>1666.1480000000001</v>
      </c>
      <c r="H22" s="302">
        <f t="shared" si="1"/>
        <v>10435.348000000002</v>
      </c>
      <c r="I22" s="1038"/>
      <c r="J22" s="1041"/>
      <c r="K22" s="1035"/>
    </row>
    <row r="23" spans="1:16">
      <c r="A23" s="881">
        <v>43279</v>
      </c>
      <c r="B23" s="882" t="s">
        <v>197</v>
      </c>
      <c r="C23" s="883" t="s">
        <v>195</v>
      </c>
      <c r="D23" s="884">
        <v>7248</v>
      </c>
      <c r="E23" s="885">
        <v>4.4000000000000004</v>
      </c>
      <c r="F23" s="885">
        <f t="shared" si="0"/>
        <v>31891.200000000004</v>
      </c>
      <c r="G23" s="885">
        <f t="shared" si="2"/>
        <v>6059.3280000000013</v>
      </c>
      <c r="H23" s="885">
        <f t="shared" si="1"/>
        <v>37950.528000000006</v>
      </c>
      <c r="I23" s="1037"/>
      <c r="J23" s="1040"/>
      <c r="K23" s="1034"/>
    </row>
    <row r="25" spans="1:16" s="44" customFormat="1" ht="12.75">
      <c r="A25" s="846">
        <v>43279</v>
      </c>
      <c r="B25" s="847" t="s">
        <v>355</v>
      </c>
      <c r="C25" s="848" t="s">
        <v>195</v>
      </c>
      <c r="D25" s="849">
        <v>1109</v>
      </c>
      <c r="E25" s="850">
        <v>3</v>
      </c>
      <c r="F25" s="850">
        <f t="shared" ref="F25" si="3">+D25*E25</f>
        <v>3327</v>
      </c>
      <c r="G25" s="850">
        <f t="shared" ref="G25" si="4">+F25*0.19</f>
        <v>632.13</v>
      </c>
      <c r="H25" s="851">
        <f t="shared" ref="H25" si="5">+G25+F25</f>
        <v>3959.13</v>
      </c>
      <c r="I25" s="295" t="s">
        <v>1099</v>
      </c>
      <c r="J25" s="815" t="s">
        <v>45</v>
      </c>
      <c r="K25" s="463"/>
      <c r="L25" s="297"/>
      <c r="M25" s="43"/>
      <c r="O25" s="817"/>
      <c r="P25" s="475"/>
    </row>
    <row r="26" spans="1:16" ht="15.75" thickBot="1"/>
    <row r="27" spans="1:16" s="575" customFormat="1">
      <c r="A27" s="1019" t="s">
        <v>334</v>
      </c>
      <c r="B27" s="1020"/>
      <c r="C27" s="1020"/>
      <c r="D27" s="1020"/>
      <c r="E27" s="1020"/>
      <c r="F27" s="1020"/>
      <c r="G27" s="1020"/>
      <c r="H27" s="1021"/>
    </row>
    <row r="28" spans="1:16" s="44" customFormat="1" ht="12.75">
      <c r="A28" s="846">
        <v>43166</v>
      </c>
      <c r="B28" s="847" t="s">
        <v>302</v>
      </c>
      <c r="C28" s="848" t="s">
        <v>195</v>
      </c>
      <c r="D28" s="849">
        <v>10000</v>
      </c>
      <c r="E28" s="850">
        <v>1.45</v>
      </c>
      <c r="F28" s="850">
        <v>10000</v>
      </c>
      <c r="G28" s="850">
        <f t="shared" ref="G28:G45" si="6">+F28*0.19</f>
        <v>1900</v>
      </c>
      <c r="H28" s="851">
        <f t="shared" ref="H28:H45" si="7">+G28+F28</f>
        <v>11900</v>
      </c>
      <c r="J28" s="815"/>
      <c r="K28" s="901"/>
      <c r="L28" s="297"/>
      <c r="M28" s="297" t="s">
        <v>205</v>
      </c>
      <c r="N28" s="60"/>
      <c r="O28" s="816"/>
      <c r="P28" s="480"/>
    </row>
    <row r="29" spans="1:16" s="44" customFormat="1" ht="12.75">
      <c r="A29" s="846">
        <v>43188</v>
      </c>
      <c r="B29" s="847" t="s">
        <v>302</v>
      </c>
      <c r="C29" s="848" t="s">
        <v>195</v>
      </c>
      <c r="D29" s="849">
        <v>33000</v>
      </c>
      <c r="E29" s="850">
        <v>1.45</v>
      </c>
      <c r="F29" s="850">
        <f t="shared" ref="F29:F45" si="8">+D29*E29</f>
        <v>47850</v>
      </c>
      <c r="G29" s="850">
        <f t="shared" si="6"/>
        <v>9091.5</v>
      </c>
      <c r="H29" s="851">
        <f t="shared" si="7"/>
        <v>56941.5</v>
      </c>
      <c r="J29" s="815"/>
      <c r="K29" s="901"/>
      <c r="L29" s="297"/>
      <c r="M29" s="297"/>
      <c r="N29" s="60"/>
      <c r="O29" s="816"/>
      <c r="P29" s="480"/>
    </row>
    <row r="30" spans="1:16" s="44" customFormat="1" ht="12.75">
      <c r="A30" s="846">
        <v>43234</v>
      </c>
      <c r="B30" s="847" t="s">
        <v>302</v>
      </c>
      <c r="C30" s="848" t="s">
        <v>195</v>
      </c>
      <c r="D30" s="849">
        <v>32240</v>
      </c>
      <c r="E30" s="850">
        <v>1.45</v>
      </c>
      <c r="F30" s="850">
        <f t="shared" si="8"/>
        <v>46748</v>
      </c>
      <c r="G30" s="850">
        <f t="shared" si="6"/>
        <v>8882.1200000000008</v>
      </c>
      <c r="H30" s="851">
        <f t="shared" si="7"/>
        <v>55630.12</v>
      </c>
      <c r="J30" s="815"/>
      <c r="K30" s="815"/>
      <c r="L30" s="297"/>
      <c r="M30" s="297"/>
      <c r="N30" s="60"/>
      <c r="O30" s="816"/>
      <c r="P30" s="480"/>
    </row>
    <row r="31" spans="1:16" s="44" customFormat="1" ht="12.75">
      <c r="A31" s="823">
        <v>43242</v>
      </c>
      <c r="B31" s="295" t="s">
        <v>197</v>
      </c>
      <c r="C31" s="463" t="s">
        <v>195</v>
      </c>
      <c r="D31" s="464">
        <v>6151</v>
      </c>
      <c r="E31" s="306">
        <v>4.4000000000000004</v>
      </c>
      <c r="F31" s="306">
        <f t="shared" si="8"/>
        <v>27064.400000000001</v>
      </c>
      <c r="G31" s="306">
        <f t="shared" si="6"/>
        <v>5142.2360000000008</v>
      </c>
      <c r="H31" s="695">
        <f t="shared" si="7"/>
        <v>32206.636000000002</v>
      </c>
      <c r="I31" s="295"/>
      <c r="J31" s="463"/>
      <c r="K31" s="463"/>
      <c r="L31" s="297"/>
      <c r="M31" s="297"/>
      <c r="N31" s="60"/>
      <c r="O31" s="816"/>
      <c r="P31" s="480"/>
    </row>
    <row r="32" spans="1:16" s="44" customFormat="1" ht="12.75">
      <c r="A32" s="823">
        <v>43249</v>
      </c>
      <c r="B32" s="295" t="s">
        <v>197</v>
      </c>
      <c r="C32" s="463" t="s">
        <v>195</v>
      </c>
      <c r="D32" s="464">
        <v>5902</v>
      </c>
      <c r="E32" s="306">
        <v>4.4000000000000004</v>
      </c>
      <c r="F32" s="306">
        <f t="shared" si="8"/>
        <v>25968.800000000003</v>
      </c>
      <c r="G32" s="306">
        <f t="shared" si="6"/>
        <v>4934.072000000001</v>
      </c>
      <c r="H32" s="695">
        <f t="shared" si="7"/>
        <v>30902.872000000003</v>
      </c>
      <c r="I32" s="295"/>
      <c r="J32" s="463"/>
      <c r="K32" s="463"/>
      <c r="L32" s="297"/>
      <c r="M32" s="297"/>
      <c r="N32" s="60"/>
      <c r="O32" s="816"/>
      <c r="P32" s="480"/>
    </row>
    <row r="33" spans="1:16" s="44" customFormat="1" ht="12.75">
      <c r="A33" s="823">
        <v>43066</v>
      </c>
      <c r="B33" s="295" t="s">
        <v>266</v>
      </c>
      <c r="C33" s="463" t="s">
        <v>195</v>
      </c>
      <c r="D33" s="464">
        <v>13620</v>
      </c>
      <c r="E33" s="306">
        <v>0.3</v>
      </c>
      <c r="F33" s="306">
        <f t="shared" si="8"/>
        <v>4086</v>
      </c>
      <c r="G33" s="306">
        <f t="shared" si="6"/>
        <v>776.34</v>
      </c>
      <c r="H33" s="695">
        <f t="shared" si="7"/>
        <v>4862.34</v>
      </c>
      <c r="I33" s="295"/>
      <c r="J33" s="463"/>
      <c r="K33" s="463"/>
      <c r="L33" s="297"/>
      <c r="M33" s="43"/>
      <c r="N33" s="60"/>
      <c r="O33" s="816"/>
      <c r="P33" s="480"/>
    </row>
    <row r="34" spans="1:16" s="44" customFormat="1" ht="12.75">
      <c r="A34" s="846">
        <v>43216</v>
      </c>
      <c r="B34" s="847" t="s">
        <v>208</v>
      </c>
      <c r="C34" s="848" t="s">
        <v>195</v>
      </c>
      <c r="D34" s="849">
        <f>41480-5000</f>
        <v>36480</v>
      </c>
      <c r="E34" s="850">
        <v>1.7</v>
      </c>
      <c r="F34" s="850">
        <f t="shared" si="8"/>
        <v>62016</v>
      </c>
      <c r="G34" s="850">
        <f t="shared" si="6"/>
        <v>11783.04</v>
      </c>
      <c r="H34" s="851">
        <f t="shared" si="7"/>
        <v>73799.040000000008</v>
      </c>
      <c r="I34" s="295"/>
      <c r="J34" s="815"/>
      <c r="K34" s="463"/>
      <c r="L34" s="297"/>
      <c r="M34" s="43"/>
      <c r="O34" s="817"/>
      <c r="P34" s="475"/>
    </row>
    <row r="35" spans="1:16" s="44" customFormat="1" ht="12.75">
      <c r="A35" s="846">
        <v>43235</v>
      </c>
      <c r="B35" s="847" t="s">
        <v>208</v>
      </c>
      <c r="C35" s="848" t="s">
        <v>195</v>
      </c>
      <c r="D35" s="849">
        <v>42440</v>
      </c>
      <c r="E35" s="850">
        <v>1.7</v>
      </c>
      <c r="F35" s="850">
        <f t="shared" si="8"/>
        <v>72148</v>
      </c>
      <c r="G35" s="850">
        <f t="shared" si="6"/>
        <v>13708.12</v>
      </c>
      <c r="H35" s="851">
        <f t="shared" si="7"/>
        <v>85856.12</v>
      </c>
      <c r="I35" s="295"/>
      <c r="J35" s="815"/>
      <c r="K35" s="463"/>
      <c r="L35" s="297"/>
      <c r="M35" s="43"/>
      <c r="O35" s="817"/>
      <c r="P35" s="475"/>
    </row>
    <row r="36" spans="1:16" s="44" customFormat="1" ht="12.75">
      <c r="A36" s="823">
        <v>43271</v>
      </c>
      <c r="B36" s="295" t="s">
        <v>197</v>
      </c>
      <c r="C36" s="463" t="s">
        <v>195</v>
      </c>
      <c r="D36" s="464">
        <v>4005</v>
      </c>
      <c r="E36" s="306">
        <v>4.4000000000000004</v>
      </c>
      <c r="F36" s="306">
        <f t="shared" si="8"/>
        <v>17622</v>
      </c>
      <c r="G36" s="306">
        <f t="shared" si="6"/>
        <v>3348.18</v>
      </c>
      <c r="H36" s="695">
        <f t="shared" si="7"/>
        <v>20970.18</v>
      </c>
      <c r="I36" s="295"/>
      <c r="J36" s="815"/>
      <c r="K36" s="463"/>
      <c r="L36" s="297"/>
      <c r="M36" s="43"/>
      <c r="O36" s="817"/>
      <c r="P36" s="475"/>
    </row>
    <row r="37" spans="1:16" s="44" customFormat="1" ht="12.75">
      <c r="A37" s="823">
        <v>43273</v>
      </c>
      <c r="B37" s="295" t="s">
        <v>197</v>
      </c>
      <c r="C37" s="463" t="s">
        <v>195</v>
      </c>
      <c r="D37" s="464">
        <v>7807</v>
      </c>
      <c r="E37" s="306">
        <v>4.4000000000000004</v>
      </c>
      <c r="F37" s="306">
        <f t="shared" si="8"/>
        <v>34350.800000000003</v>
      </c>
      <c r="G37" s="306">
        <f t="shared" si="6"/>
        <v>6526.652000000001</v>
      </c>
      <c r="H37" s="695">
        <f t="shared" si="7"/>
        <v>40877.452000000005</v>
      </c>
      <c r="I37" s="295"/>
      <c r="J37" s="815"/>
      <c r="K37" s="463"/>
      <c r="L37" s="297"/>
      <c r="M37" s="43"/>
      <c r="O37" s="817"/>
      <c r="P37" s="475"/>
    </row>
    <row r="38" spans="1:16" s="44" customFormat="1" ht="12.75">
      <c r="A38" s="823">
        <v>43273</v>
      </c>
      <c r="B38" s="295" t="s">
        <v>197</v>
      </c>
      <c r="C38" s="463" t="s">
        <v>195</v>
      </c>
      <c r="D38" s="464">
        <v>3845</v>
      </c>
      <c r="E38" s="306">
        <v>4.4000000000000004</v>
      </c>
      <c r="F38" s="306">
        <f t="shared" si="8"/>
        <v>16918</v>
      </c>
      <c r="G38" s="306">
        <f t="shared" si="6"/>
        <v>3214.42</v>
      </c>
      <c r="H38" s="695">
        <f t="shared" si="7"/>
        <v>20132.419999999998</v>
      </c>
      <c r="I38" s="295"/>
      <c r="J38" s="815"/>
      <c r="K38" s="463"/>
      <c r="L38" s="297"/>
      <c r="M38" s="43"/>
      <c r="O38" s="817"/>
      <c r="P38" s="475"/>
    </row>
    <row r="39" spans="1:16" s="44" customFormat="1" ht="12.75">
      <c r="A39" s="823">
        <v>43256</v>
      </c>
      <c r="B39" s="295" t="s">
        <v>197</v>
      </c>
      <c r="C39" s="463" t="s">
        <v>195</v>
      </c>
      <c r="D39" s="464">
        <v>4240</v>
      </c>
      <c r="E39" s="306">
        <v>4.4000000000000004</v>
      </c>
      <c r="F39" s="306">
        <f t="shared" si="8"/>
        <v>18656</v>
      </c>
      <c r="G39" s="306">
        <f t="shared" si="6"/>
        <v>3544.64</v>
      </c>
      <c r="H39" s="695">
        <f t="shared" si="7"/>
        <v>22200.639999999999</v>
      </c>
      <c r="I39" s="295"/>
      <c r="J39" s="815"/>
      <c r="K39" s="463"/>
      <c r="L39" s="297"/>
      <c r="M39" s="43"/>
      <c r="O39" s="817"/>
      <c r="P39" s="475"/>
    </row>
    <row r="40" spans="1:16" s="44" customFormat="1" ht="12.75">
      <c r="A40" s="823">
        <v>43277</v>
      </c>
      <c r="B40" s="295" t="s">
        <v>197</v>
      </c>
      <c r="C40" s="463" t="s">
        <v>195</v>
      </c>
      <c r="D40" s="464">
        <v>2259</v>
      </c>
      <c r="E40" s="306">
        <v>4.4000000000000004</v>
      </c>
      <c r="F40" s="306">
        <f t="shared" si="8"/>
        <v>9939.6</v>
      </c>
      <c r="G40" s="306">
        <f t="shared" si="6"/>
        <v>1888.5240000000001</v>
      </c>
      <c r="H40" s="695">
        <f t="shared" si="7"/>
        <v>11828.124</v>
      </c>
      <c r="I40" s="295"/>
      <c r="J40" s="815"/>
      <c r="K40" s="463"/>
      <c r="L40" s="297"/>
      <c r="M40" s="43"/>
      <c r="O40" s="817"/>
      <c r="P40" s="475"/>
    </row>
    <row r="41" spans="1:16" s="44" customFormat="1" ht="12.75">
      <c r="A41" s="823">
        <v>43278</v>
      </c>
      <c r="B41" s="295" t="s">
        <v>197</v>
      </c>
      <c r="C41" s="463" t="s">
        <v>195</v>
      </c>
      <c r="D41" s="464">
        <v>1993</v>
      </c>
      <c r="E41" s="306">
        <v>4.4000000000000004</v>
      </c>
      <c r="F41" s="306">
        <f t="shared" si="8"/>
        <v>8769.2000000000007</v>
      </c>
      <c r="G41" s="306">
        <f t="shared" si="6"/>
        <v>1666.1480000000001</v>
      </c>
      <c r="H41" s="695">
        <f t="shared" si="7"/>
        <v>10435.348000000002</v>
      </c>
      <c r="I41" s="295"/>
      <c r="J41" s="815"/>
      <c r="K41" s="463"/>
      <c r="L41" s="297"/>
      <c r="M41" s="43"/>
      <c r="O41" s="817"/>
      <c r="P41" s="475"/>
    </row>
    <row r="42" spans="1:16" s="44" customFormat="1" ht="12.75">
      <c r="A42" s="823">
        <v>43279</v>
      </c>
      <c r="B42" s="295" t="s">
        <v>197</v>
      </c>
      <c r="C42" s="463" t="s">
        <v>195</v>
      </c>
      <c r="D42" s="464">
        <v>7248</v>
      </c>
      <c r="E42" s="306">
        <v>4.4000000000000004</v>
      </c>
      <c r="F42" s="306">
        <f t="shared" si="8"/>
        <v>31891.200000000004</v>
      </c>
      <c r="G42" s="306">
        <f t="shared" si="6"/>
        <v>6059.3280000000013</v>
      </c>
      <c r="H42" s="695">
        <f t="shared" si="7"/>
        <v>37950.528000000006</v>
      </c>
      <c r="I42" s="295"/>
      <c r="J42" s="815"/>
      <c r="K42" s="463"/>
      <c r="L42" s="297"/>
      <c r="M42" s="43"/>
      <c r="O42" s="817"/>
      <c r="P42" s="475"/>
    </row>
    <row r="43" spans="1:16" s="44" customFormat="1" ht="12.75">
      <c r="A43" s="823">
        <v>43273</v>
      </c>
      <c r="B43" s="295" t="s">
        <v>198</v>
      </c>
      <c r="C43" s="463" t="s">
        <v>195</v>
      </c>
      <c r="D43" s="464">
        <v>2435</v>
      </c>
      <c r="E43" s="306">
        <v>33</v>
      </c>
      <c r="F43" s="306">
        <f t="shared" si="8"/>
        <v>80355</v>
      </c>
      <c r="G43" s="306">
        <f t="shared" si="6"/>
        <v>15267.45</v>
      </c>
      <c r="H43" s="695">
        <f t="shared" si="7"/>
        <v>95622.45</v>
      </c>
      <c r="I43" s="295"/>
      <c r="J43" s="815"/>
      <c r="K43" s="463"/>
      <c r="L43" s="297"/>
      <c r="M43" s="43"/>
      <c r="O43" s="817"/>
      <c r="P43" s="475"/>
    </row>
    <row r="44" spans="1:16" s="44" customFormat="1" ht="12.75">
      <c r="A44" s="846">
        <v>43279</v>
      </c>
      <c r="B44" s="847" t="s">
        <v>355</v>
      </c>
      <c r="C44" s="848" t="s">
        <v>195</v>
      </c>
      <c r="D44" s="849">
        <v>1109</v>
      </c>
      <c r="E44" s="850">
        <v>3</v>
      </c>
      <c r="F44" s="850">
        <f t="shared" si="8"/>
        <v>3327</v>
      </c>
      <c r="G44" s="850">
        <f t="shared" si="6"/>
        <v>632.13</v>
      </c>
      <c r="H44" s="851">
        <f t="shared" si="7"/>
        <v>3959.13</v>
      </c>
      <c r="I44" s="295"/>
      <c r="J44" s="815"/>
      <c r="K44" s="463"/>
      <c r="L44" s="297"/>
      <c r="M44" s="43"/>
      <c r="O44" s="817"/>
      <c r="P44" s="475"/>
    </row>
    <row r="45" spans="1:16" s="44" customFormat="1" ht="13.5" thickBot="1">
      <c r="A45" s="895">
        <v>43255</v>
      </c>
      <c r="B45" s="896" t="s">
        <v>208</v>
      </c>
      <c r="C45" s="897" t="s">
        <v>195</v>
      </c>
      <c r="D45" s="898">
        <v>42080</v>
      </c>
      <c r="E45" s="899">
        <v>1.7</v>
      </c>
      <c r="F45" s="899">
        <f t="shared" si="8"/>
        <v>71536</v>
      </c>
      <c r="G45" s="899">
        <f t="shared" si="6"/>
        <v>13591.84</v>
      </c>
      <c r="H45" s="900">
        <f t="shared" si="7"/>
        <v>85127.84</v>
      </c>
      <c r="J45" s="815"/>
      <c r="K45" s="815"/>
      <c r="L45" s="297"/>
      <c r="M45" s="43"/>
      <c r="N45" s="60"/>
      <c r="O45" s="816"/>
      <c r="P45" s="480"/>
    </row>
    <row r="46" spans="1:16" s="575" customFormat="1" ht="15.75" thickBot="1">
      <c r="H46" s="825">
        <f>SUM(H28:H45)</f>
        <v>701202.74</v>
      </c>
    </row>
  </sheetData>
  <sortState ref="A6:H19">
    <sortCondition ref="B6:B19"/>
  </sortState>
  <mergeCells count="10">
    <mergeCell ref="A27:H27"/>
    <mergeCell ref="K5:K6"/>
    <mergeCell ref="K10:K11"/>
    <mergeCell ref="K15:K23"/>
    <mergeCell ref="I5:I6"/>
    <mergeCell ref="I10:I11"/>
    <mergeCell ref="I15:I23"/>
    <mergeCell ref="J5:J6"/>
    <mergeCell ref="J10:J11"/>
    <mergeCell ref="J15:J23"/>
  </mergeCells>
  <pageMargins left="0.15748031496062992" right="0.19685039370078741" top="0.74803149606299213" bottom="0.74803149606299213" header="0.23622047244094491" footer="0.31496062992125984"/>
  <pageSetup paperSize="9" orientation="landscape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07-2018</vt:lpstr>
      <vt:lpstr>etranger</vt:lpstr>
      <vt:lpstr>CMT</vt:lpstr>
      <vt:lpstr>EXPORT</vt:lpstr>
      <vt:lpstr>FED</vt:lpstr>
      <vt:lpstr>KAIS TAYACHI</vt:lpstr>
      <vt:lpstr>SOTRAM</vt:lpstr>
      <vt:lpstr>HAZEM</vt:lpstr>
      <vt:lpstr>AUTRE FACTURE </vt:lpstr>
      <vt:lpstr>PLOMB LOCAL</vt:lpstr>
      <vt:lpstr>CT</vt:lpstr>
      <vt:lpstr>TRAITE</vt:lpstr>
      <vt:lpstr>Feuil1</vt:lpstr>
      <vt:lpstr>'07-2018'!Zone_d_impression</vt:lpstr>
      <vt:lpstr>'AUTRE FACTURE '!Zone_d_impression</vt:lpstr>
      <vt:lpstr>CMT!Zone_d_impression</vt:lpstr>
      <vt:lpstr>etranger!Zone_d_impression</vt:lpstr>
      <vt:lpstr>EXPORT!Zone_d_impression</vt:lpstr>
      <vt:lpstr>FED!Zone_d_impression</vt:lpstr>
      <vt:lpstr>Feuil1!Zone_d_impression</vt:lpstr>
      <vt:lpstr>HAZEM!Zone_d_impression</vt:lpstr>
      <vt:lpstr>'KAIS TAYACHI'!Zone_d_impression</vt:lpstr>
      <vt:lpstr>'PLOMB LOCAL'!Zone_d_impression</vt:lpstr>
      <vt:lpstr>SOTRAM!Zone_d_impression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2018-07-16T12:53:00Z</cp:lastPrinted>
  <dcterms:created xsi:type="dcterms:W3CDTF">2016-03-21T13:00:29Z</dcterms:created>
  <dcterms:modified xsi:type="dcterms:W3CDTF">2018-07-16T15:01:55Z</dcterms:modified>
</cp:coreProperties>
</file>