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hamed_limaiem\Desktop\COPIE LIMAIEM\"/>
    </mc:Choice>
  </mc:AlternateContent>
  <xr:revisionPtr revIDLastSave="0" documentId="13_ncr:1_{F0FAFFA3-92F0-4CE4-96BF-7FB294367015}" xr6:coauthVersionLast="47" xr6:coauthVersionMax="47" xr10:uidLastSave="{00000000-0000-0000-0000-000000000000}"/>
  <bookViews>
    <workbookView xWindow="-120" yWindow="-120" windowWidth="20730" windowHeight="11040" tabRatio="917" firstSheet="1" activeTab="16" xr2:uid="{00000000-000D-0000-FFFF-FFFF00000000}"/>
  </bookViews>
  <sheets>
    <sheet name="HAZEM" sheetId="57" r:id="rId1"/>
    <sheet name="SOTRAM" sheetId="58" r:id="rId2"/>
    <sheet name="KAMMOUN" sheetId="59" r:id="rId3"/>
    <sheet name="KAIS" sheetId="60" r:id="rId4"/>
    <sheet name="STA NOUR" sheetId="63" r:id="rId5"/>
    <sheet name="KAIS STA" sheetId="73" r:id="rId6"/>
    <sheet name="12-2019" sheetId="71" r:id="rId7"/>
    <sheet name="etranger" sheetId="3" r:id="rId8"/>
    <sheet name="CMT" sheetId="5" r:id="rId9"/>
    <sheet name="EXPORT" sheetId="1" r:id="rId10"/>
    <sheet name="PLOMB LOCAL" sheetId="25" state="hidden" r:id="rId11"/>
    <sheet name="CT" sheetId="75" r:id="rId12"/>
    <sheet name="TR " sheetId="76" r:id="rId13"/>
    <sheet name="STA" sheetId="36" r:id="rId14"/>
    <sheet name="FH" sheetId="39" r:id="rId15"/>
    <sheet name="HEMP" sheetId="32" state="hidden" r:id="rId16"/>
    <sheet name="I Z" sheetId="72" r:id="rId17"/>
    <sheet name="Feuil3" sheetId="50" state="hidden" r:id="rId18"/>
    <sheet name="Feuil2" sheetId="49" state="hidden" r:id="rId19"/>
    <sheet name="Feuil4" sheetId="56" state="hidden" r:id="rId20"/>
    <sheet name="Feuil1" sheetId="74" state="hidden" r:id="rId21"/>
    <sheet name="DETTE" sheetId="79" r:id="rId22"/>
    <sheet name="solde" sheetId="80" state="hidden" r:id="rId23"/>
    <sheet name="Feuil5" sheetId="81" r:id="rId24"/>
    <sheet name="Feuil6" sheetId="82" r:id="rId25"/>
    <sheet name="Feuil7" sheetId="83" r:id="rId26"/>
    <sheet name="Feuil8" sheetId="84" r:id="rId27"/>
    <sheet name="HAZEM (2)" sheetId="85" r:id="rId28"/>
    <sheet name="SOTRAM (2)" sheetId="86" r:id="rId29"/>
    <sheet name="KAMMOUN (2)" sheetId="87" r:id="rId30"/>
    <sheet name="KAIS (2)" sheetId="88" r:id="rId31"/>
    <sheet name="STA NOUR (2)" sheetId="89" r:id="rId32"/>
    <sheet name="KAIS STA (2)" sheetId="90" r:id="rId33"/>
  </sheets>
  <definedNames>
    <definedName name="_xlnm._FilterDatabase" localSheetId="9" hidden="1">EXPORT!$A$1:$A$226</definedName>
    <definedName name="_xlnm._FilterDatabase" localSheetId="13" hidden="1">STA!$A$1:$L$1</definedName>
    <definedName name="_xlnm.Print_Area" localSheetId="6">'12-2019'!$A$1:$L$80</definedName>
    <definedName name="_xlnm.Print_Area" localSheetId="8">CMT!$B$5:$G$45</definedName>
    <definedName name="_xlnm.Print_Area" localSheetId="7">etranger!$A$61:$F$70</definedName>
    <definedName name="_xlnm.Print_Area" localSheetId="9">EXPORT!$A$131:$M$147</definedName>
    <definedName name="_xlnm.Print_Area" localSheetId="20">Feuil1!$A$13:$H$38</definedName>
    <definedName name="_xlnm.Print_Area" localSheetId="17">Feuil3!$A$1:$O$23</definedName>
    <definedName name="_xlnm.Print_Area" localSheetId="19">Feuil4!$A$1:$M$30</definedName>
    <definedName name="_xlnm.Print_Area" localSheetId="24">Feuil6!$A$2:$I$23</definedName>
    <definedName name="_xlnm.Print_Area" localSheetId="0">HAZEM!$A$1:$H$53</definedName>
    <definedName name="_xlnm.Print_Area" localSheetId="27">'HAZEM (2)'!$A$1:$H$53</definedName>
    <definedName name="_xlnm.Print_Area" localSheetId="15">HEMP!$A$13:$P$41</definedName>
    <definedName name="_xlnm.Print_Area" localSheetId="3">KAIS!$A$1:$H$12</definedName>
    <definedName name="_xlnm.Print_Area" localSheetId="30">'KAIS (2)'!$A$1:$H$12</definedName>
    <definedName name="_xlnm.Print_Area" localSheetId="5">'KAIS STA'!$A$1:$N$26</definedName>
    <definedName name="_xlnm.Print_Area" localSheetId="32">'KAIS STA (2)'!$A$1:$N$33</definedName>
    <definedName name="_xlnm.Print_Area" localSheetId="10">'PLOMB LOCAL'!$A$12:$H$67</definedName>
    <definedName name="_xlnm.Print_Area" localSheetId="1">SOTRAM!$A$1:$H$25</definedName>
    <definedName name="_xlnm.Print_Area" localSheetId="28">'SOTRAM (2)'!$A$1:$H$25</definedName>
    <definedName name="_xlnm.Print_Area" localSheetId="4">'STA NOUR'!$A$14:$H$46</definedName>
    <definedName name="_xlnm.Print_Area" localSheetId="31">'STA NOUR (2)'!$A$14:$H$46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79" l="1"/>
  <c r="E17" i="79"/>
  <c r="E16" i="79"/>
  <c r="E12" i="79"/>
  <c r="G26" i="90"/>
  <c r="F26" i="90"/>
  <c r="H26" i="90" s="1"/>
  <c r="F25" i="90"/>
  <c r="G25" i="90" s="1"/>
  <c r="H25" i="90" s="1"/>
  <c r="G24" i="90"/>
  <c r="F24" i="90"/>
  <c r="F23" i="90"/>
  <c r="G23" i="90" s="1"/>
  <c r="G22" i="90"/>
  <c r="H22" i="90" s="1"/>
  <c r="F22" i="90"/>
  <c r="F21" i="90"/>
  <c r="G21" i="90" s="1"/>
  <c r="H21" i="90" s="1"/>
  <c r="G20" i="90"/>
  <c r="F20" i="90"/>
  <c r="H20" i="90" s="1"/>
  <c r="F19" i="90"/>
  <c r="G19" i="90" s="1"/>
  <c r="G18" i="90"/>
  <c r="H18" i="90" s="1"/>
  <c r="F18" i="90"/>
  <c r="F17" i="90"/>
  <c r="G17" i="90" s="1"/>
  <c r="H17" i="90" s="1"/>
  <c r="F16" i="90"/>
  <c r="F15" i="90"/>
  <c r="G15" i="90" s="1"/>
  <c r="F14" i="90"/>
  <c r="G14" i="90" s="1"/>
  <c r="H14" i="90" s="1"/>
  <c r="F13" i="90"/>
  <c r="G13" i="90" s="1"/>
  <c r="H13" i="90" s="1"/>
  <c r="F12" i="90"/>
  <c r="H7" i="90"/>
  <c r="H6" i="90"/>
  <c r="H5" i="90"/>
  <c r="D4" i="90"/>
  <c r="H3" i="90"/>
  <c r="G68" i="89"/>
  <c r="H68" i="89" s="1"/>
  <c r="G67" i="89"/>
  <c r="H67" i="89" s="1"/>
  <c r="F66" i="89"/>
  <c r="G66" i="89" s="1"/>
  <c r="H66" i="89" s="1"/>
  <c r="G65" i="89"/>
  <c r="H65" i="89" s="1"/>
  <c r="F65" i="89"/>
  <c r="G64" i="89"/>
  <c r="H64" i="89" s="1"/>
  <c r="G63" i="89"/>
  <c r="H63" i="89" s="1"/>
  <c r="G62" i="89"/>
  <c r="H62" i="89" s="1"/>
  <c r="H61" i="89"/>
  <c r="G61" i="89"/>
  <c r="G60" i="89"/>
  <c r="H60" i="89" s="1"/>
  <c r="G59" i="89"/>
  <c r="H59" i="89" s="1"/>
  <c r="G58" i="89"/>
  <c r="H58" i="89" s="1"/>
  <c r="F57" i="89"/>
  <c r="G57" i="89" s="1"/>
  <c r="H57" i="89" s="1"/>
  <c r="G56" i="89"/>
  <c r="F56" i="89"/>
  <c r="F55" i="89"/>
  <c r="G55" i="89" s="1"/>
  <c r="F54" i="89"/>
  <c r="F53" i="89"/>
  <c r="G53" i="89" s="1"/>
  <c r="F52" i="89"/>
  <c r="F51" i="89"/>
  <c r="G51" i="89" s="1"/>
  <c r="F50" i="89"/>
  <c r="F49" i="89"/>
  <c r="G49" i="89" s="1"/>
  <c r="H49" i="89" s="1"/>
  <c r="F48" i="89"/>
  <c r="F47" i="89"/>
  <c r="G47" i="89" s="1"/>
  <c r="F46" i="89"/>
  <c r="G46" i="89" s="1"/>
  <c r="F45" i="89"/>
  <c r="G45" i="89" s="1"/>
  <c r="H45" i="89" s="1"/>
  <c r="G44" i="89"/>
  <c r="F44" i="89"/>
  <c r="F43" i="89"/>
  <c r="G43" i="89" s="1"/>
  <c r="G42" i="89"/>
  <c r="F42" i="89"/>
  <c r="F41" i="89"/>
  <c r="G41" i="89" s="1"/>
  <c r="H41" i="89" s="1"/>
  <c r="G40" i="89"/>
  <c r="F40" i="89"/>
  <c r="F39" i="89"/>
  <c r="G39" i="89" s="1"/>
  <c r="F38" i="89"/>
  <c r="G38" i="89" s="1"/>
  <c r="F37" i="89"/>
  <c r="G37" i="89" s="1"/>
  <c r="H37" i="89" s="1"/>
  <c r="G36" i="89"/>
  <c r="F36" i="89"/>
  <c r="F35" i="89"/>
  <c r="G35" i="89" s="1"/>
  <c r="F34" i="89"/>
  <c r="G34" i="89" s="1"/>
  <c r="F33" i="89"/>
  <c r="G33" i="89" s="1"/>
  <c r="H33" i="89" s="1"/>
  <c r="G32" i="89"/>
  <c r="F32" i="89"/>
  <c r="F31" i="89"/>
  <c r="G31" i="89" s="1"/>
  <c r="F30" i="89"/>
  <c r="G30" i="89" s="1"/>
  <c r="F29" i="89"/>
  <c r="G29" i="89" s="1"/>
  <c r="H29" i="89" s="1"/>
  <c r="F28" i="89"/>
  <c r="F27" i="89"/>
  <c r="G27" i="89" s="1"/>
  <c r="G26" i="89"/>
  <c r="F26" i="89"/>
  <c r="F25" i="89"/>
  <c r="G25" i="89" s="1"/>
  <c r="H25" i="89" s="1"/>
  <c r="G24" i="89"/>
  <c r="F24" i="89"/>
  <c r="F23" i="89"/>
  <c r="G23" i="89" s="1"/>
  <c r="G22" i="89"/>
  <c r="H22" i="89" s="1"/>
  <c r="F22" i="89"/>
  <c r="F21" i="89"/>
  <c r="G21" i="89" s="1"/>
  <c r="H21" i="89" s="1"/>
  <c r="F20" i="89"/>
  <c r="F19" i="89"/>
  <c r="G19" i="89" s="1"/>
  <c r="F18" i="89"/>
  <c r="G18" i="89" s="1"/>
  <c r="F17" i="89"/>
  <c r="G17" i="89" s="1"/>
  <c r="G16" i="89"/>
  <c r="F16" i="89"/>
  <c r="F15" i="89"/>
  <c r="G15" i="89" s="1"/>
  <c r="F14" i="89"/>
  <c r="G14" i="89" s="1"/>
  <c r="D9" i="89"/>
  <c r="F8" i="89"/>
  <c r="F7" i="89"/>
  <c r="F6" i="89"/>
  <c r="G5" i="89"/>
  <c r="F5" i="89"/>
  <c r="D4" i="89"/>
  <c r="D3" i="89"/>
  <c r="AD90" i="88"/>
  <c r="AE90" i="88" s="1"/>
  <c r="AD89" i="88"/>
  <c r="AE89" i="88" s="1"/>
  <c r="AF89" i="88" s="1"/>
  <c r="AD88" i="88"/>
  <c r="AD87" i="88"/>
  <c r="AE87" i="88" s="1"/>
  <c r="AD86" i="88"/>
  <c r="AE86" i="88" s="1"/>
  <c r="AD85" i="88"/>
  <c r="AE85" i="88" s="1"/>
  <c r="AF85" i="88" s="1"/>
  <c r="AD84" i="88"/>
  <c r="AD83" i="88"/>
  <c r="AE83" i="88" s="1"/>
  <c r="AD82" i="88"/>
  <c r="AE82" i="88" s="1"/>
  <c r="AD81" i="88"/>
  <c r="AE81" i="88" s="1"/>
  <c r="AF81" i="88" s="1"/>
  <c r="AE80" i="88"/>
  <c r="AD80" i="88"/>
  <c r="AD79" i="88"/>
  <c r="AE79" i="88" s="1"/>
  <c r="AD78" i="88"/>
  <c r="AE78" i="88" s="1"/>
  <c r="AD77" i="88"/>
  <c r="AE77" i="88" s="1"/>
  <c r="AF77" i="88" s="1"/>
  <c r="AE76" i="88"/>
  <c r="AD76" i="88"/>
  <c r="AD75" i="88"/>
  <c r="AE75" i="88" s="1"/>
  <c r="AD74" i="88"/>
  <c r="AE74" i="88" s="1"/>
  <c r="AD73" i="88"/>
  <c r="AE73" i="88" s="1"/>
  <c r="AF73" i="88" s="1"/>
  <c r="AE72" i="88"/>
  <c r="AD72" i="88"/>
  <c r="AD71" i="88"/>
  <c r="AE71" i="88" s="1"/>
  <c r="AD70" i="88"/>
  <c r="AE70" i="88" s="1"/>
  <c r="AD69" i="88"/>
  <c r="AE69" i="88" s="1"/>
  <c r="AF69" i="88" s="1"/>
  <c r="AD68" i="88"/>
  <c r="AE68" i="88" s="1"/>
  <c r="AD67" i="88"/>
  <c r="AE67" i="88" s="1"/>
  <c r="AD66" i="88"/>
  <c r="AE66" i="88" s="1"/>
  <c r="AD65" i="88"/>
  <c r="AE65" i="88" s="1"/>
  <c r="AF65" i="88" s="1"/>
  <c r="AD64" i="88"/>
  <c r="AD63" i="88"/>
  <c r="AE63" i="88" s="1"/>
  <c r="AD62" i="88"/>
  <c r="AE62" i="88" s="1"/>
  <c r="AD61" i="88"/>
  <c r="AE61" i="88" s="1"/>
  <c r="AF61" i="88" s="1"/>
  <c r="AD60" i="88"/>
  <c r="AD59" i="88"/>
  <c r="AE59" i="88" s="1"/>
  <c r="AD58" i="88"/>
  <c r="AE58" i="88" s="1"/>
  <c r="AD57" i="88"/>
  <c r="AE57" i="88" s="1"/>
  <c r="AF57" i="88" s="1"/>
  <c r="AE56" i="88"/>
  <c r="AD56" i="88"/>
  <c r="AD55" i="88"/>
  <c r="AE55" i="88" s="1"/>
  <c r="AD54" i="88"/>
  <c r="AE54" i="88" s="1"/>
  <c r="AD53" i="88"/>
  <c r="AE53" i="88" s="1"/>
  <c r="AF53" i="88" s="1"/>
  <c r="AD52" i="88"/>
  <c r="AD51" i="88"/>
  <c r="AE51" i="88" s="1"/>
  <c r="AD50" i="88"/>
  <c r="AD49" i="88"/>
  <c r="AE49" i="88" s="1"/>
  <c r="AF49" i="88" s="1"/>
  <c r="AD48" i="88"/>
  <c r="AB47" i="88"/>
  <c r="AD47" i="88" s="1"/>
  <c r="AE47" i="88" s="1"/>
  <c r="AD46" i="88"/>
  <c r="AE46" i="88" s="1"/>
  <c r="AD45" i="88"/>
  <c r="AD44" i="88"/>
  <c r="AE44" i="88" s="1"/>
  <c r="AF44" i="88" s="1"/>
  <c r="AD43" i="88"/>
  <c r="AD42" i="88"/>
  <c r="AE42" i="88" s="1"/>
  <c r="AD41" i="88"/>
  <c r="AE41" i="88" s="1"/>
  <c r="AD40" i="88"/>
  <c r="AE40" i="88" s="1"/>
  <c r="AF40" i="88" s="1"/>
  <c r="AD39" i="88"/>
  <c r="AE39" i="88" s="1"/>
  <c r="AD38" i="88"/>
  <c r="AE38" i="88" s="1"/>
  <c r="AE37" i="88"/>
  <c r="AD37" i="88"/>
  <c r="AD36" i="88"/>
  <c r="AE36" i="88" s="1"/>
  <c r="AF36" i="88" s="1"/>
  <c r="AE35" i="88"/>
  <c r="AD35" i="88"/>
  <c r="AD34" i="88"/>
  <c r="AE34" i="88" s="1"/>
  <c r="AD33" i="88"/>
  <c r="AE33" i="88" s="1"/>
  <c r="N33" i="88"/>
  <c r="O33" i="88" s="1"/>
  <c r="P33" i="88" s="1"/>
  <c r="AE32" i="88"/>
  <c r="AD32" i="88"/>
  <c r="N32" i="88"/>
  <c r="O32" i="88" s="1"/>
  <c r="AD31" i="88"/>
  <c r="AE31" i="88" s="1"/>
  <c r="N31" i="88"/>
  <c r="O31" i="88" s="1"/>
  <c r="P31" i="88" s="1"/>
  <c r="AD30" i="88"/>
  <c r="N30" i="88"/>
  <c r="O30" i="88" s="1"/>
  <c r="AD29" i="88"/>
  <c r="AE29" i="88" s="1"/>
  <c r="N29" i="88"/>
  <c r="O29" i="88" s="1"/>
  <c r="P29" i="88" s="1"/>
  <c r="AD28" i="88"/>
  <c r="N28" i="88"/>
  <c r="O28" i="88" s="1"/>
  <c r="AD27" i="88"/>
  <c r="AE27" i="88" s="1"/>
  <c r="N27" i="88"/>
  <c r="O27" i="88" s="1"/>
  <c r="P27" i="88" s="1"/>
  <c r="AE26" i="88"/>
  <c r="AD26" i="88"/>
  <c r="N26" i="88"/>
  <c r="O26" i="88" s="1"/>
  <c r="AE25" i="88"/>
  <c r="AD25" i="88"/>
  <c r="N25" i="88"/>
  <c r="O25" i="88" s="1"/>
  <c r="P25" i="88" s="1"/>
  <c r="AE24" i="88"/>
  <c r="AF24" i="88" s="1"/>
  <c r="AD24" i="88"/>
  <c r="N24" i="88"/>
  <c r="O24" i="88" s="1"/>
  <c r="AD23" i="88"/>
  <c r="AE23" i="88" s="1"/>
  <c r="N23" i="88"/>
  <c r="O23" i="88" s="1"/>
  <c r="P23" i="88" s="1"/>
  <c r="AE22" i="88"/>
  <c r="AF22" i="88" s="1"/>
  <c r="AD22" i="88"/>
  <c r="N22" i="88"/>
  <c r="O22" i="88" s="1"/>
  <c r="AD21" i="88"/>
  <c r="AE21" i="88" s="1"/>
  <c r="N21" i="88"/>
  <c r="O21" i="88" s="1"/>
  <c r="P21" i="88" s="1"/>
  <c r="AE20" i="88"/>
  <c r="AF20" i="88" s="1"/>
  <c r="AD20" i="88"/>
  <c r="V20" i="88"/>
  <c r="W20" i="88" s="1"/>
  <c r="N20" i="88"/>
  <c r="O20" i="88" s="1"/>
  <c r="AD19" i="88"/>
  <c r="AE19" i="88" s="1"/>
  <c r="AF19" i="88" s="1"/>
  <c r="V19" i="88"/>
  <c r="W19" i="88" s="1"/>
  <c r="X19" i="88" s="1"/>
  <c r="N19" i="88"/>
  <c r="O19" i="88" s="1"/>
  <c r="F19" i="88"/>
  <c r="G19" i="88" s="1"/>
  <c r="AD18" i="88"/>
  <c r="AE18" i="88" s="1"/>
  <c r="AF18" i="88" s="1"/>
  <c r="V18" i="88"/>
  <c r="W18" i="88" s="1"/>
  <c r="X18" i="88" s="1"/>
  <c r="N18" i="88"/>
  <c r="O18" i="88" s="1"/>
  <c r="F18" i="88"/>
  <c r="G18" i="88" s="1"/>
  <c r="AD17" i="88"/>
  <c r="AE17" i="88" s="1"/>
  <c r="AF17" i="88" s="1"/>
  <c r="V17" i="88"/>
  <c r="W17" i="88" s="1"/>
  <c r="X17" i="88" s="1"/>
  <c r="N17" i="88"/>
  <c r="O17" i="88" s="1"/>
  <c r="F17" i="88"/>
  <c r="G17" i="88" s="1"/>
  <c r="AD16" i="88"/>
  <c r="AE16" i="88" s="1"/>
  <c r="AF16" i="88" s="1"/>
  <c r="W16" i="88"/>
  <c r="X16" i="88" s="1"/>
  <c r="V16" i="88"/>
  <c r="N16" i="88"/>
  <c r="O16" i="88" s="1"/>
  <c r="F16" i="88"/>
  <c r="G16" i="88" s="1"/>
  <c r="AD15" i="88"/>
  <c r="AE15" i="88" s="1"/>
  <c r="AF15" i="88" s="1"/>
  <c r="V15" i="88"/>
  <c r="W15" i="88" s="1"/>
  <c r="X15" i="88" s="1"/>
  <c r="N15" i="88"/>
  <c r="O15" i="88" s="1"/>
  <c r="F15" i="88"/>
  <c r="G15" i="88" s="1"/>
  <c r="AD14" i="88"/>
  <c r="AE14" i="88" s="1"/>
  <c r="W14" i="88"/>
  <c r="X14" i="88" s="1"/>
  <c r="V14" i="88"/>
  <c r="N14" i="88"/>
  <c r="O14" i="88" s="1"/>
  <c r="F14" i="88"/>
  <c r="G14" i="88" s="1"/>
  <c r="H11" i="88"/>
  <c r="H10" i="88"/>
  <c r="H9" i="88"/>
  <c r="D7" i="88"/>
  <c r="H6" i="88"/>
  <c r="D5" i="88"/>
  <c r="D4" i="88"/>
  <c r="D3" i="88"/>
  <c r="F21" i="87"/>
  <c r="G21" i="87" s="1"/>
  <c r="H21" i="87" s="1"/>
  <c r="G20" i="87"/>
  <c r="H20" i="87" s="1"/>
  <c r="F20" i="87"/>
  <c r="F19" i="87"/>
  <c r="G19" i="87" s="1"/>
  <c r="F18" i="87"/>
  <c r="G18" i="87" s="1"/>
  <c r="F17" i="87"/>
  <c r="G17" i="87" s="1"/>
  <c r="H17" i="87" s="1"/>
  <c r="G16" i="87"/>
  <c r="H16" i="87" s="1"/>
  <c r="F16" i="87"/>
  <c r="F15" i="87"/>
  <c r="G15" i="87" s="1"/>
  <c r="F14" i="87"/>
  <c r="G14" i="87" s="1"/>
  <c r="F13" i="87"/>
  <c r="G13" i="87" s="1"/>
  <c r="H13" i="87" s="1"/>
  <c r="F12" i="87"/>
  <c r="G12" i="87" s="1"/>
  <c r="H12" i="87" s="1"/>
  <c r="F11" i="87"/>
  <c r="G11" i="87" s="1"/>
  <c r="F4" i="87"/>
  <c r="F7" i="87" s="1"/>
  <c r="D4" i="87"/>
  <c r="F47" i="86"/>
  <c r="G47" i="86" s="1"/>
  <c r="F46" i="86"/>
  <c r="G46" i="86" s="1"/>
  <c r="F45" i="86"/>
  <c r="F44" i="86"/>
  <c r="F43" i="86"/>
  <c r="G32" i="86"/>
  <c r="G35" i="86" s="1"/>
  <c r="D32" i="86"/>
  <c r="F24" i="86"/>
  <c r="G24" i="86" s="1"/>
  <c r="H24" i="86" s="1"/>
  <c r="F23" i="86"/>
  <c r="G23" i="86" s="1"/>
  <c r="F22" i="86"/>
  <c r="G22" i="86" s="1"/>
  <c r="F21" i="86"/>
  <c r="G21" i="86" s="1"/>
  <c r="H21" i="86" s="1"/>
  <c r="G20" i="86"/>
  <c r="H20" i="86" s="1"/>
  <c r="F20" i="86"/>
  <c r="F19" i="86"/>
  <c r="G19" i="86" s="1"/>
  <c r="F18" i="86"/>
  <c r="G18" i="86" s="1"/>
  <c r="F17" i="86"/>
  <c r="G17" i="86" s="1"/>
  <c r="H17" i="86" s="1"/>
  <c r="G16" i="86"/>
  <c r="H16" i="86" s="1"/>
  <c r="F16" i="86"/>
  <c r="F15" i="86"/>
  <c r="G15" i="86" s="1"/>
  <c r="F14" i="86"/>
  <c r="G14" i="86" s="1"/>
  <c r="F13" i="86"/>
  <c r="G13" i="86" s="1"/>
  <c r="H13" i="86" s="1"/>
  <c r="G12" i="86"/>
  <c r="H12" i="86" s="1"/>
  <c r="F12" i="86"/>
  <c r="P11" i="86"/>
  <c r="Q11" i="86" s="1"/>
  <c r="Q4" i="86" s="1"/>
  <c r="Q7" i="86" s="1"/>
  <c r="P4" i="86"/>
  <c r="P7" i="86" s="1"/>
  <c r="N4" i="86"/>
  <c r="D4" i="86"/>
  <c r="F52" i="85"/>
  <c r="G52" i="85" s="1"/>
  <c r="F51" i="85"/>
  <c r="G51" i="85" s="1"/>
  <c r="F50" i="85"/>
  <c r="G50" i="85" s="1"/>
  <c r="H50" i="85" s="1"/>
  <c r="F49" i="85"/>
  <c r="G49" i="85" s="1"/>
  <c r="H49" i="85" s="1"/>
  <c r="F48" i="85"/>
  <c r="G48" i="85" s="1"/>
  <c r="F47" i="85"/>
  <c r="G47" i="85" s="1"/>
  <c r="F46" i="85"/>
  <c r="G46" i="85" s="1"/>
  <c r="H46" i="85" s="1"/>
  <c r="F45" i="85"/>
  <c r="G45" i="85" s="1"/>
  <c r="F44" i="85"/>
  <c r="G44" i="85" s="1"/>
  <c r="F43" i="85"/>
  <c r="F42" i="85"/>
  <c r="G42" i="85" s="1"/>
  <c r="H42" i="85" s="1"/>
  <c r="F41" i="85"/>
  <c r="G41" i="85" s="1"/>
  <c r="F40" i="85"/>
  <c r="G40" i="85" s="1"/>
  <c r="G39" i="85"/>
  <c r="F39" i="85"/>
  <c r="F38" i="85"/>
  <c r="G38" i="85" s="1"/>
  <c r="H38" i="85" s="1"/>
  <c r="G37" i="85"/>
  <c r="F37" i="85"/>
  <c r="F36" i="85"/>
  <c r="G36" i="85" s="1"/>
  <c r="G35" i="85"/>
  <c r="F35" i="85"/>
  <c r="F34" i="85"/>
  <c r="G34" i="85" s="1"/>
  <c r="H34" i="85" s="1"/>
  <c r="F33" i="85"/>
  <c r="F32" i="85"/>
  <c r="G32" i="85" s="1"/>
  <c r="G31" i="85"/>
  <c r="F31" i="85"/>
  <c r="F30" i="85"/>
  <c r="G30" i="85" s="1"/>
  <c r="D29" i="85"/>
  <c r="F29" i="85" s="1"/>
  <c r="G28" i="85"/>
  <c r="G5" i="85" s="1"/>
  <c r="F28" i="85"/>
  <c r="F27" i="85"/>
  <c r="G27" i="85" s="1"/>
  <c r="G26" i="85"/>
  <c r="F26" i="85"/>
  <c r="F25" i="85"/>
  <c r="G25" i="85" s="1"/>
  <c r="H25" i="85" s="1"/>
  <c r="G24" i="85"/>
  <c r="F24" i="85"/>
  <c r="F23" i="85"/>
  <c r="G23" i="85" s="1"/>
  <c r="F22" i="85"/>
  <c r="F21" i="85"/>
  <c r="G21" i="85" s="1"/>
  <c r="H21" i="85" s="1"/>
  <c r="F20" i="85"/>
  <c r="F19" i="85"/>
  <c r="G19" i="85" s="1"/>
  <c r="F18" i="85"/>
  <c r="G18" i="85" s="1"/>
  <c r="F17" i="85"/>
  <c r="G17" i="85" s="1"/>
  <c r="H17" i="85" s="1"/>
  <c r="F16" i="85"/>
  <c r="G16" i="85" s="1"/>
  <c r="F15" i="85"/>
  <c r="G15" i="85" s="1"/>
  <c r="F14" i="85"/>
  <c r="G14" i="85" s="1"/>
  <c r="F13" i="85"/>
  <c r="G13" i="85" s="1"/>
  <c r="G12" i="85"/>
  <c r="F12" i="85"/>
  <c r="D7" i="85"/>
  <c r="D6" i="85"/>
  <c r="F5" i="85"/>
  <c r="D5" i="85"/>
  <c r="D4" i="85"/>
  <c r="K148" i="1"/>
  <c r="E8" i="3"/>
  <c r="R3" i="81"/>
  <c r="AF48" i="88" l="1"/>
  <c r="H50" i="89"/>
  <c r="H24" i="85"/>
  <c r="H35" i="85"/>
  <c r="AE43" i="88"/>
  <c r="AF43" i="88" s="1"/>
  <c r="AE48" i="88"/>
  <c r="AE60" i="88"/>
  <c r="AF60" i="88" s="1"/>
  <c r="AF80" i="88"/>
  <c r="H16" i="89"/>
  <c r="H40" i="89"/>
  <c r="G50" i="89"/>
  <c r="H56" i="89"/>
  <c r="H5" i="89"/>
  <c r="G16" i="90"/>
  <c r="H16" i="90" s="1"/>
  <c r="H31" i="85"/>
  <c r="F4" i="86"/>
  <c r="F7" i="86" s="1"/>
  <c r="AE30" i="88"/>
  <c r="AF30" i="88" s="1"/>
  <c r="AF50" i="88"/>
  <c r="AF56" i="88"/>
  <c r="G28" i="89"/>
  <c r="H28" i="89" s="1"/>
  <c r="H52" i="89"/>
  <c r="G12" i="90"/>
  <c r="H12" i="90" s="1"/>
  <c r="H14" i="85"/>
  <c r="H41" i="85"/>
  <c r="AF27" i="88"/>
  <c r="AF39" i="88"/>
  <c r="AF68" i="88"/>
  <c r="H46" i="89"/>
  <c r="G20" i="85"/>
  <c r="H20" i="85" s="1"/>
  <c r="H26" i="85"/>
  <c r="H37" i="85"/>
  <c r="F32" i="86"/>
  <c r="AF25" i="88"/>
  <c r="AF35" i="88"/>
  <c r="AE45" i="88"/>
  <c r="AF45" i="88" s="1"/>
  <c r="AE50" i="88"/>
  <c r="AF76" i="88"/>
  <c r="AE88" i="88"/>
  <c r="AF88" i="88" s="1"/>
  <c r="H24" i="89"/>
  <c r="H36" i="89"/>
  <c r="H42" i="89"/>
  <c r="G52" i="89"/>
  <c r="H24" i="90"/>
  <c r="AF64" i="88"/>
  <c r="H48" i="89"/>
  <c r="G43" i="85"/>
  <c r="H43" i="85" s="1"/>
  <c r="AE28" i="88"/>
  <c r="AF28" i="88" s="1"/>
  <c r="AE64" i="88"/>
  <c r="AF84" i="88"/>
  <c r="H20" i="89"/>
  <c r="G48" i="89"/>
  <c r="F4" i="90"/>
  <c r="F8" i="90" s="1"/>
  <c r="H18" i="85"/>
  <c r="H45" i="85"/>
  <c r="H16" i="85"/>
  <c r="AF41" i="88"/>
  <c r="H8" i="89"/>
  <c r="H12" i="85"/>
  <c r="G22" i="85"/>
  <c r="H22" i="85" s="1"/>
  <c r="H28" i="85"/>
  <c r="H5" i="85" s="1"/>
  <c r="G33" i="85"/>
  <c r="H33" i="85" s="1"/>
  <c r="H39" i="85"/>
  <c r="AF26" i="88"/>
  <c r="AF32" i="88"/>
  <c r="AF37" i="88"/>
  <c r="AE52" i="88"/>
  <c r="AF52" i="88" s="1"/>
  <c r="AF72" i="88"/>
  <c r="AE84" i="88"/>
  <c r="G20" i="89"/>
  <c r="H26" i="89"/>
  <c r="H32" i="89"/>
  <c r="H44" i="89"/>
  <c r="G54" i="89"/>
  <c r="G9" i="89" s="1"/>
  <c r="H7" i="89"/>
  <c r="G6" i="89"/>
  <c r="G7" i="89"/>
  <c r="H6" i="89"/>
  <c r="H32" i="86"/>
  <c r="H35" i="86" s="1"/>
  <c r="F35" i="86"/>
  <c r="AF14" i="88"/>
  <c r="G7" i="88"/>
  <c r="H53" i="89"/>
  <c r="G4" i="88"/>
  <c r="G3" i="88"/>
  <c r="G4" i="90"/>
  <c r="G8" i="90" s="1"/>
  <c r="H30" i="85"/>
  <c r="G7" i="85"/>
  <c r="H13" i="85"/>
  <c r="G4" i="85"/>
  <c r="G29" i="85"/>
  <c r="G6" i="85" s="1"/>
  <c r="F6" i="85"/>
  <c r="G4" i="89"/>
  <c r="H17" i="89"/>
  <c r="H37" i="86"/>
  <c r="G4" i="87"/>
  <c r="G7" i="87" s="1"/>
  <c r="G3" i="89"/>
  <c r="F4" i="85"/>
  <c r="F8" i="85" s="1"/>
  <c r="F7" i="85"/>
  <c r="H47" i="85"/>
  <c r="H51" i="85"/>
  <c r="H14" i="86"/>
  <c r="H18" i="86"/>
  <c r="H22" i="86"/>
  <c r="H38" i="86"/>
  <c r="H46" i="86"/>
  <c r="H14" i="87"/>
  <c r="H18" i="87"/>
  <c r="G5" i="88"/>
  <c r="F7" i="88"/>
  <c r="H14" i="88"/>
  <c r="H15" i="88"/>
  <c r="H16" i="88"/>
  <c r="H17" i="88"/>
  <c r="H18" i="88"/>
  <c r="H19" i="88"/>
  <c r="P20" i="88"/>
  <c r="AF21" i="88"/>
  <c r="AF23" i="88"/>
  <c r="AF29" i="88"/>
  <c r="AF31" i="88"/>
  <c r="AF33" i="88"/>
  <c r="AF54" i="88"/>
  <c r="AF58" i="88"/>
  <c r="AF62" i="88"/>
  <c r="AF66" i="88"/>
  <c r="AF70" i="88"/>
  <c r="AF74" i="88"/>
  <c r="AF78" i="88"/>
  <c r="AF82" i="88"/>
  <c r="AF86" i="88"/>
  <c r="AF90" i="88"/>
  <c r="H14" i="89"/>
  <c r="H18" i="89"/>
  <c r="H30" i="89"/>
  <c r="H34" i="89"/>
  <c r="H38" i="89"/>
  <c r="H15" i="85"/>
  <c r="H19" i="85"/>
  <c r="H23" i="85"/>
  <c r="H27" i="85"/>
  <c r="H32" i="85"/>
  <c r="H36" i="85"/>
  <c r="H40" i="85"/>
  <c r="H44" i="85"/>
  <c r="H48" i="85"/>
  <c r="H52" i="85"/>
  <c r="R4" i="86"/>
  <c r="R7" i="86" s="1"/>
  <c r="R9" i="86" s="1"/>
  <c r="R11" i="86"/>
  <c r="H15" i="86"/>
  <c r="H19" i="86"/>
  <c r="H23" i="86"/>
  <c r="H47" i="86"/>
  <c r="H11" i="87"/>
  <c r="H15" i="87"/>
  <c r="H19" i="87"/>
  <c r="F3" i="88"/>
  <c r="F4" i="88"/>
  <c r="H4" i="88" s="1"/>
  <c r="F5" i="88"/>
  <c r="P14" i="88"/>
  <c r="P15" i="88"/>
  <c r="P16" i="88"/>
  <c r="P17" i="88"/>
  <c r="P18" i="88"/>
  <c r="P19" i="88"/>
  <c r="X20" i="88"/>
  <c r="P22" i="88"/>
  <c r="P24" i="88"/>
  <c r="P26" i="88"/>
  <c r="P28" i="88"/>
  <c r="P30" i="88"/>
  <c r="P32" i="88"/>
  <c r="AF34" i="88"/>
  <c r="AF38" i="88"/>
  <c r="AF42" i="88"/>
  <c r="AF46" i="88"/>
  <c r="AF47" i="88"/>
  <c r="AF51" i="88"/>
  <c r="AF55" i="88"/>
  <c r="AF59" i="88"/>
  <c r="AF63" i="88"/>
  <c r="AF67" i="88"/>
  <c r="AF71" i="88"/>
  <c r="AF75" i="88"/>
  <c r="AF79" i="88"/>
  <c r="AF83" i="88"/>
  <c r="AF87" i="88"/>
  <c r="G8" i="89"/>
  <c r="H15" i="89"/>
  <c r="H19" i="89"/>
  <c r="H23" i="89"/>
  <c r="H27" i="89"/>
  <c r="H31" i="89"/>
  <c r="H35" i="89"/>
  <c r="H39" i="89"/>
  <c r="H43" i="89"/>
  <c r="H47" i="89"/>
  <c r="H51" i="89"/>
  <c r="H55" i="89"/>
  <c r="H4" i="90"/>
  <c r="H8" i="90" s="1"/>
  <c r="H15" i="90"/>
  <c r="H19" i="90"/>
  <c r="H23" i="90"/>
  <c r="G4" i="86"/>
  <c r="G7" i="86" s="1"/>
  <c r="F3" i="89"/>
  <c r="F4" i="89"/>
  <c r="F9" i="89"/>
  <c r="G22" i="81"/>
  <c r="G23" i="81"/>
  <c r="H9" i="90" l="1"/>
  <c r="H7" i="88"/>
  <c r="H4" i="86"/>
  <c r="H7" i="86" s="1"/>
  <c r="H9" i="89"/>
  <c r="H54" i="89"/>
  <c r="H32" i="90"/>
  <c r="H4" i="85"/>
  <c r="G8" i="85"/>
  <c r="H10" i="86"/>
  <c r="H8" i="87"/>
  <c r="H4" i="87"/>
  <c r="H7" i="87" s="1"/>
  <c r="H9" i="87" s="1"/>
  <c r="H36" i="86"/>
  <c r="H39" i="86"/>
  <c r="H8" i="86"/>
  <c r="F8" i="88"/>
  <c r="H3" i="88"/>
  <c r="H86" i="89"/>
  <c r="H3" i="89"/>
  <c r="H10" i="90"/>
  <c r="F10" i="89"/>
  <c r="H5" i="88"/>
  <c r="G10" i="89"/>
  <c r="H4" i="89"/>
  <c r="H29" i="85"/>
  <c r="H7" i="85"/>
  <c r="G8" i="88"/>
  <c r="H41" i="86" l="1"/>
  <c r="H10" i="89"/>
  <c r="H12" i="89"/>
  <c r="H6" i="85"/>
  <c r="H8" i="85" s="1"/>
  <c r="H9" i="85"/>
  <c r="H8" i="88"/>
  <c r="H12" i="88" s="1"/>
  <c r="C9" i="84"/>
  <c r="D9" i="84"/>
  <c r="E9" i="84"/>
  <c r="B9" i="84"/>
  <c r="F9" i="84" s="1"/>
  <c r="F11" i="84" s="1"/>
  <c r="F13" i="84" s="1"/>
  <c r="V145" i="83"/>
  <c r="W145" i="83" s="1"/>
  <c r="V101" i="83"/>
  <c r="W101" i="83" s="1"/>
  <c r="V112" i="83" s="1"/>
  <c r="U13" i="83"/>
  <c r="V13" i="83" s="1"/>
  <c r="U5" i="83"/>
  <c r="V5" i="83" s="1"/>
  <c r="V4" i="83"/>
  <c r="V12" i="83" s="1"/>
  <c r="U4" i="83"/>
  <c r="G12" i="83"/>
  <c r="G29" i="83"/>
  <c r="G41" i="83"/>
  <c r="G52" i="83"/>
  <c r="G65" i="83"/>
  <c r="V65" i="83" s="1"/>
  <c r="G80" i="83"/>
  <c r="G91" i="83"/>
  <c r="V91" i="83" s="1"/>
  <c r="G99" i="83"/>
  <c r="G112" i="83"/>
  <c r="G157" i="83"/>
  <c r="G127" i="83"/>
  <c r="G140" i="83"/>
  <c r="V140" i="83" s="1"/>
  <c r="F51" i="71"/>
  <c r="V157" i="83" l="1"/>
  <c r="V29" i="83"/>
  <c r="H10" i="85"/>
  <c r="G160" i="83"/>
  <c r="C7" i="71"/>
  <c r="C5" i="71"/>
  <c r="P64" i="71"/>
  <c r="I64" i="71"/>
  <c r="F68" i="71"/>
  <c r="P62" i="71"/>
  <c r="M64" i="71"/>
  <c r="F5" i="71" s="1"/>
  <c r="M62" i="71"/>
  <c r="F69" i="71"/>
  <c r="M5" i="71" s="1"/>
  <c r="I10" i="71"/>
  <c r="F62" i="71"/>
  <c r="J10" i="36"/>
  <c r="J17" i="36"/>
  <c r="J18" i="36"/>
  <c r="J11" i="36"/>
  <c r="J19" i="36"/>
  <c r="J20" i="36"/>
  <c r="J21" i="36"/>
  <c r="J22" i="36"/>
  <c r="J23" i="36"/>
  <c r="F10" i="36"/>
  <c r="F17" i="36"/>
  <c r="F18" i="36"/>
  <c r="F11" i="36"/>
  <c r="F19" i="36"/>
  <c r="F12" i="36"/>
  <c r="F13" i="36"/>
  <c r="F20" i="36"/>
  <c r="F21" i="36"/>
  <c r="F22" i="36"/>
  <c r="F23" i="36"/>
  <c r="I68" i="71" s="1"/>
  <c r="F36" i="36"/>
  <c r="F37" i="36"/>
  <c r="F38" i="36"/>
  <c r="F39" i="36"/>
  <c r="F40" i="36"/>
  <c r="F41" i="36"/>
  <c r="F42" i="36"/>
  <c r="F43" i="36"/>
  <c r="F44" i="36"/>
  <c r="F45" i="36"/>
  <c r="F46" i="36"/>
  <c r="F47" i="36"/>
  <c r="F48" i="36"/>
  <c r="F49" i="36"/>
  <c r="F50" i="36"/>
  <c r="F51" i="36"/>
  <c r="F52" i="36"/>
  <c r="F53" i="36"/>
  <c r="F54" i="36"/>
  <c r="F55" i="36"/>
  <c r="F56" i="36"/>
  <c r="F57" i="36"/>
  <c r="F58" i="36"/>
  <c r="F59" i="36"/>
  <c r="F60" i="36"/>
  <c r="F61" i="36"/>
  <c r="F62" i="36"/>
  <c r="F63" i="36"/>
  <c r="F64" i="36"/>
  <c r="F65" i="36"/>
  <c r="F66" i="36"/>
  <c r="F67" i="36"/>
  <c r="F68" i="36"/>
  <c r="F69" i="36"/>
  <c r="F70" i="36"/>
  <c r="F71" i="36"/>
  <c r="F72" i="36"/>
  <c r="F73" i="36"/>
  <c r="F74" i="36"/>
  <c r="F75" i="36"/>
  <c r="F76" i="36"/>
  <c r="H76" i="36"/>
  <c r="H75" i="36"/>
  <c r="H74" i="36"/>
  <c r="H73" i="36"/>
  <c r="H72" i="36"/>
  <c r="H71" i="36"/>
  <c r="H70" i="36"/>
  <c r="H69" i="36"/>
  <c r="H68" i="36"/>
  <c r="H67" i="36"/>
  <c r="H66" i="36"/>
  <c r="H65" i="36"/>
  <c r="H64" i="36"/>
  <c r="H63" i="36"/>
  <c r="H62" i="36"/>
  <c r="H61" i="36"/>
  <c r="H60" i="36"/>
  <c r="H59" i="36"/>
  <c r="H58" i="36"/>
  <c r="H57" i="36"/>
  <c r="H56" i="36"/>
  <c r="H55" i="36"/>
  <c r="H54" i="36"/>
  <c r="H53" i="36"/>
  <c r="H52" i="36"/>
  <c r="H51" i="36"/>
  <c r="H50" i="36"/>
  <c r="H49" i="36"/>
  <c r="H48" i="36"/>
  <c r="H47" i="36"/>
  <c r="H46" i="36"/>
  <c r="H45" i="36"/>
  <c r="H44" i="36"/>
  <c r="H43" i="36"/>
  <c r="H42" i="36"/>
  <c r="H41" i="36"/>
  <c r="H40" i="36"/>
  <c r="H39" i="36"/>
  <c r="H38" i="36"/>
  <c r="H37" i="36"/>
  <c r="H36" i="36"/>
  <c r="H23" i="36"/>
  <c r="E6" i="81"/>
  <c r="A4" i="81"/>
  <c r="A7" i="81"/>
  <c r="D4" i="81"/>
  <c r="E5" i="81"/>
  <c r="D2" i="81"/>
  <c r="M3" i="81"/>
  <c r="M2" i="81"/>
  <c r="A6" i="81"/>
  <c r="J4" i="81"/>
  <c r="P2" i="81"/>
  <c r="Q14" i="81"/>
  <c r="J3" i="81"/>
  <c r="J2" i="81"/>
  <c r="K156" i="1"/>
  <c r="P5" i="71" l="1"/>
  <c r="P14" i="81"/>
  <c r="P15" i="81" s="1"/>
  <c r="AB92" i="60" l="1"/>
  <c r="AB91" i="60"/>
  <c r="F15" i="71" l="1"/>
  <c r="D170" i="76"/>
  <c r="D105" i="75"/>
  <c r="D633" i="75"/>
  <c r="D1056" i="75"/>
  <c r="D1322" i="75"/>
  <c r="D1399" i="75"/>
  <c r="D1417" i="75"/>
  <c r="AD86" i="60"/>
  <c r="F188" i="1"/>
  <c r="M188" i="1"/>
  <c r="G188" i="1"/>
  <c r="F187" i="1"/>
  <c r="M187" i="1"/>
  <c r="G187" i="1"/>
  <c r="H10" i="60"/>
  <c r="B14" i="81"/>
  <c r="D14" i="81"/>
  <c r="E14" i="81"/>
  <c r="G14" i="81"/>
  <c r="H14" i="81"/>
  <c r="J14" i="81"/>
  <c r="K14" i="81"/>
  <c r="M14" i="81"/>
  <c r="N14" i="81"/>
  <c r="A14" i="81"/>
  <c r="K175" i="1"/>
  <c r="G15" i="81" l="1"/>
  <c r="M15" i="81"/>
  <c r="D15" i="81"/>
  <c r="AE86" i="60"/>
  <c r="AF86" i="60" s="1"/>
  <c r="J15" i="81"/>
  <c r="A15" i="81"/>
  <c r="K172" i="1"/>
  <c r="AD85" i="60"/>
  <c r="AE85" i="60" s="1"/>
  <c r="F24" i="58"/>
  <c r="AF85" i="60" l="1"/>
  <c r="G24" i="58"/>
  <c r="H24" i="58" s="1"/>
  <c r="D1419" i="75" l="1"/>
  <c r="D1421" i="75" s="1"/>
  <c r="J8" i="36"/>
  <c r="J9" i="36"/>
  <c r="J16" i="36"/>
  <c r="F16" i="36"/>
  <c r="I53" i="71" s="1"/>
  <c r="F8" i="36"/>
  <c r="F9" i="36"/>
  <c r="F53" i="71"/>
  <c r="F31" i="3"/>
  <c r="D31" i="3"/>
  <c r="N31" i="60"/>
  <c r="O31" i="60" l="1"/>
  <c r="P31" i="60" s="1"/>
  <c r="AD84" i="60"/>
  <c r="AE84" i="60" s="1"/>
  <c r="F7" i="63"/>
  <c r="G63" i="63"/>
  <c r="H63" i="63" s="1"/>
  <c r="F6" i="63"/>
  <c r="G59" i="63"/>
  <c r="H59" i="63" s="1"/>
  <c r="G60" i="63"/>
  <c r="H60" i="63" s="1"/>
  <c r="G61" i="63"/>
  <c r="H61" i="63" s="1"/>
  <c r="G62" i="63"/>
  <c r="H58" i="63"/>
  <c r="G58" i="63"/>
  <c r="D4" i="63"/>
  <c r="D9" i="63"/>
  <c r="F57" i="63"/>
  <c r="J7" i="36"/>
  <c r="J15" i="36"/>
  <c r="J6" i="36"/>
  <c r="F20" i="59"/>
  <c r="G20" i="59" s="1"/>
  <c r="F56" i="63"/>
  <c r="G6" i="63" l="1"/>
  <c r="H6" i="63"/>
  <c r="G7" i="63"/>
  <c r="H62" i="63"/>
  <c r="H7" i="63" s="1"/>
  <c r="AF84" i="60"/>
  <c r="G57" i="63"/>
  <c r="H20" i="59"/>
  <c r="G56" i="63"/>
  <c r="H56" i="63" s="1"/>
  <c r="H57" i="63" l="1"/>
  <c r="F35" i="36"/>
  <c r="F25" i="36"/>
  <c r="F6" i="36"/>
  <c r="F7" i="36"/>
  <c r="F28" i="36"/>
  <c r="F15" i="36"/>
  <c r="F26" i="36"/>
  <c r="C39" i="3"/>
  <c r="D5" i="60"/>
  <c r="F23" i="58"/>
  <c r="F186" i="1"/>
  <c r="M186" i="1"/>
  <c r="G186" i="1"/>
  <c r="AD83" i="60"/>
  <c r="AE83" i="60" s="1"/>
  <c r="F19" i="59"/>
  <c r="AD82" i="60"/>
  <c r="AE82" i="60" s="1"/>
  <c r="AD81" i="60"/>
  <c r="N30" i="60"/>
  <c r="D3" i="76"/>
  <c r="K145" i="1"/>
  <c r="H23" i="58" l="1"/>
  <c r="AF83" i="60"/>
  <c r="G23" i="58"/>
  <c r="G19" i="59"/>
  <c r="H19" i="59" s="1"/>
  <c r="AF82" i="60"/>
  <c r="AE81" i="60"/>
  <c r="AF81" i="60" s="1"/>
  <c r="O30" i="60"/>
  <c r="P30" i="60" s="1"/>
  <c r="J5" i="79"/>
  <c r="F30" i="3"/>
  <c r="D30" i="3"/>
  <c r="J14" i="36"/>
  <c r="F29" i="36"/>
  <c r="F14" i="36"/>
  <c r="K147" i="1"/>
  <c r="J20" i="79" l="1"/>
  <c r="J6" i="79"/>
  <c r="J7" i="79"/>
  <c r="J8" i="79"/>
  <c r="J9" i="79"/>
  <c r="J10" i="79"/>
  <c r="J11" i="79"/>
  <c r="J21" i="79"/>
  <c r="J22" i="79"/>
  <c r="J23" i="79"/>
  <c r="J24" i="79"/>
  <c r="J25" i="79"/>
  <c r="J26" i="79"/>
  <c r="J27" i="79"/>
  <c r="H6" i="79"/>
  <c r="H7" i="79"/>
  <c r="H8" i="79"/>
  <c r="H9" i="79"/>
  <c r="H10" i="79"/>
  <c r="H11" i="79"/>
  <c r="H20" i="79"/>
  <c r="H21" i="79"/>
  <c r="H22" i="79"/>
  <c r="H23" i="79"/>
  <c r="H24" i="79"/>
  <c r="H25" i="79"/>
  <c r="H26" i="79"/>
  <c r="H5" i="79"/>
  <c r="D3" i="63"/>
  <c r="F43" i="63"/>
  <c r="F52" i="63"/>
  <c r="F51" i="63"/>
  <c r="G51" i="63" s="1"/>
  <c r="AD80" i="60"/>
  <c r="AE80" i="60" s="1"/>
  <c r="AD79" i="60"/>
  <c r="AE79" i="60" s="1"/>
  <c r="AF79" i="60" s="1"/>
  <c r="AD78" i="60"/>
  <c r="AE78" i="60" s="1"/>
  <c r="AD77" i="60"/>
  <c r="AE77" i="60" s="1"/>
  <c r="AD76" i="60"/>
  <c r="AE76" i="60" s="1"/>
  <c r="AD75" i="60"/>
  <c r="AE75" i="60" s="1"/>
  <c r="AD74" i="60"/>
  <c r="AE74" i="60" s="1"/>
  <c r="AD73" i="60"/>
  <c r="AE73" i="60" s="1"/>
  <c r="AD72" i="60"/>
  <c r="AE72" i="60" s="1"/>
  <c r="AD71" i="60"/>
  <c r="AD70" i="60"/>
  <c r="AE70" i="60" s="1"/>
  <c r="AD69" i="60"/>
  <c r="AE69" i="60" s="1"/>
  <c r="AD68" i="60"/>
  <c r="AE68" i="60" s="1"/>
  <c r="AD67" i="60"/>
  <c r="AE67" i="60" s="1"/>
  <c r="AD66" i="60"/>
  <c r="AE66" i="60" s="1"/>
  <c r="AD65" i="60"/>
  <c r="AE65" i="60" s="1"/>
  <c r="AD64" i="60"/>
  <c r="AE64" i="60" s="1"/>
  <c r="AD63" i="60"/>
  <c r="AD62" i="60"/>
  <c r="AE62" i="60" s="1"/>
  <c r="AD61" i="60"/>
  <c r="AE61" i="60" s="1"/>
  <c r="AD60" i="60"/>
  <c r="AE60" i="60" s="1"/>
  <c r="AD59" i="60"/>
  <c r="AE59" i="60" s="1"/>
  <c r="AD58" i="60"/>
  <c r="AE58" i="60" s="1"/>
  <c r="AD57" i="60"/>
  <c r="AE57" i="60" s="1"/>
  <c r="AD56" i="60"/>
  <c r="AE56" i="60" s="1"/>
  <c r="AD55" i="60"/>
  <c r="AD54" i="60"/>
  <c r="AE54" i="60" s="1"/>
  <c r="AD53" i="60"/>
  <c r="AE53" i="60" s="1"/>
  <c r="AD52" i="60"/>
  <c r="AE52" i="60" s="1"/>
  <c r="AF52" i="60" s="1"/>
  <c r="AD51" i="60"/>
  <c r="AE51" i="60" s="1"/>
  <c r="AD50" i="60"/>
  <c r="AE50" i="60" s="1"/>
  <c r="AD49" i="60"/>
  <c r="AE49" i="60" s="1"/>
  <c r="AD48" i="60"/>
  <c r="AE48" i="60" s="1"/>
  <c r="AF48" i="60" s="1"/>
  <c r="AB47" i="60"/>
  <c r="AD47" i="60" s="1"/>
  <c r="AD46" i="60"/>
  <c r="AE46" i="60" s="1"/>
  <c r="AD45" i="60"/>
  <c r="AE45" i="60" s="1"/>
  <c r="AD44" i="60"/>
  <c r="AD43" i="60"/>
  <c r="AE43" i="60" s="1"/>
  <c r="AD42" i="60"/>
  <c r="AE42" i="60" s="1"/>
  <c r="AD41" i="60"/>
  <c r="AE41" i="60" s="1"/>
  <c r="AD40" i="60"/>
  <c r="AE40" i="60" s="1"/>
  <c r="AD39" i="60"/>
  <c r="AE39" i="60" s="1"/>
  <c r="AD38" i="60"/>
  <c r="AE38" i="60" s="1"/>
  <c r="AD37" i="60"/>
  <c r="AE37" i="60" s="1"/>
  <c r="AD36" i="60"/>
  <c r="AD35" i="60"/>
  <c r="AE35" i="60" s="1"/>
  <c r="AF35" i="60" s="1"/>
  <c r="AD34" i="60"/>
  <c r="AE34" i="60" s="1"/>
  <c r="AD33" i="60"/>
  <c r="AE33" i="60" s="1"/>
  <c r="AD32" i="60"/>
  <c r="AE32" i="60" s="1"/>
  <c r="AD31" i="60"/>
  <c r="AE31" i="60" s="1"/>
  <c r="AD30" i="60"/>
  <c r="AE30" i="60" s="1"/>
  <c r="AD29" i="60"/>
  <c r="AE29" i="60" s="1"/>
  <c r="N29" i="60"/>
  <c r="O29" i="60" s="1"/>
  <c r="AD28" i="60"/>
  <c r="AE28" i="60" s="1"/>
  <c r="N28" i="60"/>
  <c r="O28" i="60" s="1"/>
  <c r="AD27" i="60"/>
  <c r="AE27" i="60" s="1"/>
  <c r="N27" i="60"/>
  <c r="AD26" i="60"/>
  <c r="AE26" i="60" s="1"/>
  <c r="N26" i="60"/>
  <c r="O26" i="60" s="1"/>
  <c r="AD25" i="60"/>
  <c r="AE25" i="60" s="1"/>
  <c r="N25" i="60"/>
  <c r="O25" i="60" s="1"/>
  <c r="AD24" i="60"/>
  <c r="AE24" i="60" s="1"/>
  <c r="N24" i="60"/>
  <c r="O24" i="60" s="1"/>
  <c r="AD23" i="60"/>
  <c r="AE23" i="60" s="1"/>
  <c r="N23" i="60"/>
  <c r="AD22" i="60"/>
  <c r="AE22" i="60" s="1"/>
  <c r="N22" i="60"/>
  <c r="O22" i="60" s="1"/>
  <c r="AD21" i="60"/>
  <c r="AE21" i="60" s="1"/>
  <c r="N21" i="60"/>
  <c r="O21" i="60" s="1"/>
  <c r="AD20" i="60"/>
  <c r="AE20" i="60" s="1"/>
  <c r="N20" i="60"/>
  <c r="O20" i="60" s="1"/>
  <c r="AD19" i="60"/>
  <c r="AE19" i="60" s="1"/>
  <c r="V19" i="60"/>
  <c r="N19" i="60"/>
  <c r="O19" i="60" s="1"/>
  <c r="F19" i="60"/>
  <c r="G19" i="60" s="1"/>
  <c r="AD18" i="60"/>
  <c r="AE18" i="60" s="1"/>
  <c r="AF18" i="60" s="1"/>
  <c r="V18" i="60"/>
  <c r="W18" i="60" s="1"/>
  <c r="N18" i="60"/>
  <c r="O18" i="60" s="1"/>
  <c r="F18" i="60"/>
  <c r="G18" i="60" s="1"/>
  <c r="AD17" i="60"/>
  <c r="AE17" i="60" s="1"/>
  <c r="V17" i="60"/>
  <c r="N17" i="60"/>
  <c r="O17" i="60" s="1"/>
  <c r="F17" i="60"/>
  <c r="G17" i="60" s="1"/>
  <c r="AD16" i="60"/>
  <c r="AE16" i="60" s="1"/>
  <c r="V16" i="60"/>
  <c r="W16" i="60" s="1"/>
  <c r="N16" i="60"/>
  <c r="O16" i="60" s="1"/>
  <c r="F16" i="60"/>
  <c r="G16" i="60" s="1"/>
  <c r="AD15" i="60"/>
  <c r="AE15" i="60" s="1"/>
  <c r="V15" i="60"/>
  <c r="N15" i="60"/>
  <c r="O15" i="60" s="1"/>
  <c r="F15" i="60"/>
  <c r="G15" i="60" s="1"/>
  <c r="AD14" i="60"/>
  <c r="AE14" i="60" s="1"/>
  <c r="V14" i="60"/>
  <c r="W14" i="60" s="1"/>
  <c r="N14" i="60"/>
  <c r="O14" i="60" s="1"/>
  <c r="F14" i="60"/>
  <c r="G14" i="60" s="1"/>
  <c r="H11" i="60"/>
  <c r="H9" i="60"/>
  <c r="D7" i="60"/>
  <c r="H6" i="60"/>
  <c r="D4" i="60"/>
  <c r="D3" i="60"/>
  <c r="F4" i="60" l="1"/>
  <c r="H16" i="60"/>
  <c r="H18" i="60"/>
  <c r="P20" i="60"/>
  <c r="P24" i="60"/>
  <c r="AF30" i="60"/>
  <c r="AF38" i="60"/>
  <c r="AF46" i="60"/>
  <c r="AF49" i="60"/>
  <c r="AF57" i="60"/>
  <c r="AF65" i="60"/>
  <c r="AF73" i="60"/>
  <c r="G3" i="60"/>
  <c r="H14" i="60"/>
  <c r="X14" i="60"/>
  <c r="X16" i="60"/>
  <c r="X18" i="60"/>
  <c r="P21" i="60"/>
  <c r="P25" i="60"/>
  <c r="AF32" i="60"/>
  <c r="AF40" i="60"/>
  <c r="AF51" i="60"/>
  <c r="AF59" i="60"/>
  <c r="AF67" i="60"/>
  <c r="AF75" i="60"/>
  <c r="F3" i="60"/>
  <c r="F5" i="60"/>
  <c r="H15" i="60"/>
  <c r="W15" i="60"/>
  <c r="H17" i="60"/>
  <c r="W17" i="60"/>
  <c r="X17" i="60" s="1"/>
  <c r="H19" i="60"/>
  <c r="W19" i="60"/>
  <c r="X19" i="60" s="1"/>
  <c r="P22" i="60"/>
  <c r="O23" i="60"/>
  <c r="P26" i="60"/>
  <c r="O27" i="60"/>
  <c r="P27" i="60" s="1"/>
  <c r="AF34" i="60"/>
  <c r="AE36" i="60"/>
  <c r="AF36" i="60" s="1"/>
  <c r="AF42" i="60"/>
  <c r="AE44" i="60"/>
  <c r="AF44" i="60" s="1"/>
  <c r="AF53" i="60"/>
  <c r="AE55" i="60"/>
  <c r="AF55" i="60" s="1"/>
  <c r="AF61" i="60"/>
  <c r="AE63" i="60"/>
  <c r="AF63" i="60" s="1"/>
  <c r="AF69" i="60"/>
  <c r="AE71" i="60"/>
  <c r="AF71" i="60" s="1"/>
  <c r="AF77" i="60"/>
  <c r="P29" i="60"/>
  <c r="P28" i="60"/>
  <c r="G52" i="63"/>
  <c r="H52" i="63" s="1"/>
  <c r="H51" i="63"/>
  <c r="G43" i="63"/>
  <c r="H43" i="63" s="1"/>
  <c r="AE47" i="60"/>
  <c r="AF47" i="60" s="1"/>
  <c r="P15" i="60"/>
  <c r="P16" i="60"/>
  <c r="P17" i="60"/>
  <c r="P18" i="60"/>
  <c r="P19" i="60"/>
  <c r="AF20" i="60"/>
  <c r="AF22" i="60"/>
  <c r="AF24" i="60"/>
  <c r="AF26" i="60"/>
  <c r="AF28" i="60"/>
  <c r="AF31" i="60"/>
  <c r="AF39" i="60"/>
  <c r="AF43" i="60"/>
  <c r="AF56" i="60"/>
  <c r="AF60" i="60"/>
  <c r="AF64" i="60"/>
  <c r="AF68" i="60"/>
  <c r="AF72" i="60"/>
  <c r="AF76" i="60"/>
  <c r="AF80" i="60"/>
  <c r="P14" i="60"/>
  <c r="AF14" i="60"/>
  <c r="AF15" i="60"/>
  <c r="AF16" i="60"/>
  <c r="AF17" i="60"/>
  <c r="AF19" i="60"/>
  <c r="AF21" i="60"/>
  <c r="AF23" i="60"/>
  <c r="AF25" i="60"/>
  <c r="AF27" i="60"/>
  <c r="AF29" i="60"/>
  <c r="AF33" i="60"/>
  <c r="AF37" i="60"/>
  <c r="AF41" i="60"/>
  <c r="AF45" i="60"/>
  <c r="AF50" i="60"/>
  <c r="AF54" i="60"/>
  <c r="AF58" i="60"/>
  <c r="AF62" i="60"/>
  <c r="AF66" i="60"/>
  <c r="AF70" i="60"/>
  <c r="AF74" i="60"/>
  <c r="AF78" i="60"/>
  <c r="F7" i="60"/>
  <c r="G7" i="60" l="1"/>
  <c r="H7" i="60" s="1"/>
  <c r="G5" i="60"/>
  <c r="H5" i="60" s="1"/>
  <c r="H3" i="60"/>
  <c r="G4" i="60"/>
  <c r="X15" i="60"/>
  <c r="P23" i="60"/>
  <c r="F8" i="60"/>
  <c r="G8" i="60" l="1"/>
  <c r="H4" i="60"/>
  <c r="H8" i="60" s="1"/>
  <c r="H12" i="60" s="1"/>
  <c r="C42" i="3"/>
  <c r="N10" i="71"/>
  <c r="J3" i="72"/>
  <c r="F3" i="72"/>
  <c r="F4" i="72"/>
  <c r="F5" i="72"/>
  <c r="F6" i="72"/>
  <c r="F7" i="72"/>
  <c r="F8" i="72"/>
  <c r="F9" i="72"/>
  <c r="F10" i="72"/>
  <c r="F11" i="72"/>
  <c r="F3" i="39"/>
  <c r="F4" i="39"/>
  <c r="F5" i="39"/>
  <c r="F6" i="39"/>
  <c r="C70" i="71"/>
  <c r="F34" i="36"/>
  <c r="F33" i="36"/>
  <c r="F27" i="36"/>
  <c r="F22" i="58"/>
  <c r="G22" i="58" s="1"/>
  <c r="H22" i="58" l="1"/>
  <c r="F29" i="3" l="1"/>
  <c r="D29" i="3"/>
  <c r="F50" i="63" l="1"/>
  <c r="F49" i="63"/>
  <c r="F48" i="63"/>
  <c r="G48" i="63" s="1"/>
  <c r="F47" i="63"/>
  <c r="F46" i="63"/>
  <c r="F45" i="63"/>
  <c r="F44" i="63"/>
  <c r="F55" i="63"/>
  <c r="F54" i="63"/>
  <c r="F53" i="63"/>
  <c r="F42" i="63"/>
  <c r="F41" i="63"/>
  <c r="G41" i="63" s="1"/>
  <c r="F40" i="63"/>
  <c r="F39" i="63"/>
  <c r="F38" i="63"/>
  <c r="F37" i="63"/>
  <c r="F36" i="63"/>
  <c r="F35" i="63"/>
  <c r="F34" i="63"/>
  <c r="F33" i="63"/>
  <c r="F32" i="63"/>
  <c r="H22" i="36"/>
  <c r="H21" i="36"/>
  <c r="H20" i="36"/>
  <c r="H13" i="36"/>
  <c r="H12" i="36"/>
  <c r="H19" i="36"/>
  <c r="H11" i="36"/>
  <c r="H18" i="36"/>
  <c r="H17" i="36"/>
  <c r="H10" i="36"/>
  <c r="H9" i="36"/>
  <c r="H8" i="36"/>
  <c r="H16" i="36"/>
  <c r="H26" i="36"/>
  <c r="H15" i="36"/>
  <c r="H28" i="36"/>
  <c r="H7" i="36"/>
  <c r="H6" i="36"/>
  <c r="H25" i="36"/>
  <c r="H14" i="36"/>
  <c r="H29" i="36"/>
  <c r="F18" i="59"/>
  <c r="F9" i="63" l="1"/>
  <c r="H48" i="63"/>
  <c r="G50" i="63"/>
  <c r="H50" i="63" s="1"/>
  <c r="G49" i="63"/>
  <c r="H49" i="63" s="1"/>
  <c r="G47" i="63"/>
  <c r="H47" i="63" s="1"/>
  <c r="G46" i="63"/>
  <c r="H46" i="63" s="1"/>
  <c r="G45" i="63"/>
  <c r="H45" i="63" s="1"/>
  <c r="G44" i="63"/>
  <c r="G55" i="63"/>
  <c r="H55" i="63" s="1"/>
  <c r="H54" i="63"/>
  <c r="G54" i="63"/>
  <c r="G53" i="63"/>
  <c r="G42" i="63"/>
  <c r="H42" i="63" s="1"/>
  <c r="H41" i="63"/>
  <c r="G40" i="63"/>
  <c r="H40" i="63" s="1"/>
  <c r="G39" i="63"/>
  <c r="H39" i="63" s="1"/>
  <c r="G38" i="63"/>
  <c r="H38" i="63" s="1"/>
  <c r="G37" i="63"/>
  <c r="H37" i="63" s="1"/>
  <c r="G36" i="63"/>
  <c r="H36" i="63" s="1"/>
  <c r="G35" i="63"/>
  <c r="H35" i="63" s="1"/>
  <c r="G34" i="63"/>
  <c r="H34" i="63" s="1"/>
  <c r="G33" i="63"/>
  <c r="H33" i="63" s="1"/>
  <c r="G32" i="63"/>
  <c r="H32" i="63" s="1"/>
  <c r="G18" i="59"/>
  <c r="H18" i="59" s="1"/>
  <c r="G9" i="63" l="1"/>
  <c r="H44" i="63"/>
  <c r="H53" i="63"/>
  <c r="H9" i="63" s="1"/>
  <c r="F185" i="1"/>
  <c r="M185" i="1"/>
  <c r="G21" i="71" s="1"/>
  <c r="G185" i="1"/>
  <c r="J2" i="39"/>
  <c r="F184" i="1"/>
  <c r="M184" i="1"/>
  <c r="G184" i="1"/>
  <c r="G12" i="80" l="1"/>
  <c r="G11" i="80"/>
  <c r="G10" i="80"/>
  <c r="D15" i="80"/>
  <c r="D18" i="80" s="1"/>
  <c r="D2" i="80"/>
  <c r="D12" i="80" s="1"/>
  <c r="G5" i="80"/>
  <c r="G4" i="80"/>
  <c r="B15" i="80"/>
  <c r="B18" i="80" s="1"/>
  <c r="B20" i="80" s="1"/>
  <c r="B2" i="80"/>
  <c r="B12" i="80" s="1"/>
  <c r="G16" i="80" l="1"/>
  <c r="G18" i="80" s="1"/>
  <c r="B24" i="80"/>
  <c r="D20" i="80"/>
  <c r="D24" i="80" s="1"/>
  <c r="B16" i="79" l="1"/>
  <c r="B17" i="79"/>
  <c r="D17" i="79"/>
  <c r="C17" i="79"/>
  <c r="D27" i="79"/>
  <c r="H27" i="79" s="1"/>
  <c r="J17" i="79" l="1"/>
  <c r="H17" i="79"/>
  <c r="D16" i="79"/>
  <c r="D18" i="79" l="1"/>
  <c r="D28" i="79" s="1"/>
  <c r="B18" i="79"/>
  <c r="B28" i="79" s="1"/>
  <c r="C16" i="79"/>
  <c r="C18" i="79" s="1"/>
  <c r="C28" i="79" s="1"/>
  <c r="F30" i="36" l="1"/>
  <c r="F28" i="3"/>
  <c r="F27" i="3"/>
  <c r="F26" i="3"/>
  <c r="D28" i="3"/>
  <c r="D27" i="3"/>
  <c r="D26" i="3"/>
  <c r="K174" i="1" l="1"/>
  <c r="F183" i="1" l="1"/>
  <c r="M183" i="1"/>
  <c r="G183" i="1"/>
  <c r="F182" i="1"/>
  <c r="M182" i="1"/>
  <c r="G182" i="1"/>
  <c r="F17" i="59" l="1"/>
  <c r="G17" i="59"/>
  <c r="H17" i="59" l="1"/>
  <c r="F24" i="3"/>
  <c r="F25" i="3"/>
  <c r="D24" i="3"/>
  <c r="D25" i="3"/>
  <c r="F23" i="3"/>
  <c r="D23" i="3"/>
  <c r="F38" i="3"/>
  <c r="D38" i="3"/>
  <c r="F47" i="3"/>
  <c r="D47" i="3"/>
  <c r="F41" i="3"/>
  <c r="D41" i="3"/>
  <c r="D172" i="76" l="1"/>
  <c r="F2" i="39"/>
  <c r="F31" i="36"/>
  <c r="F24" i="36"/>
  <c r="I70" i="71" s="1"/>
  <c r="F32" i="36"/>
  <c r="F181" i="1"/>
  <c r="M181" i="1"/>
  <c r="G181" i="1"/>
  <c r="K142" i="1"/>
  <c r="F180" i="1" l="1"/>
  <c r="M180" i="1"/>
  <c r="H27" i="36"/>
  <c r="H33" i="36"/>
  <c r="H30" i="36"/>
  <c r="H35" i="36"/>
  <c r="H34" i="36"/>
  <c r="H32" i="36"/>
  <c r="H24" i="36"/>
  <c r="K168" i="1" l="1"/>
  <c r="J2" i="72" l="1"/>
  <c r="F2" i="72"/>
  <c r="D4" i="57"/>
  <c r="F27" i="57"/>
  <c r="G27" i="57" l="1"/>
  <c r="H27" i="57" s="1"/>
  <c r="F16" i="59" l="1"/>
  <c r="G16" i="59" s="1"/>
  <c r="H16" i="59" l="1"/>
  <c r="F177" i="1"/>
  <c r="M177" i="1"/>
  <c r="G177" i="1"/>
  <c r="F22" i="3" l="1"/>
  <c r="F21" i="3"/>
  <c r="D22" i="3"/>
  <c r="H31" i="36" l="1"/>
  <c r="F179" i="1"/>
  <c r="M179" i="1"/>
  <c r="G179" i="1"/>
  <c r="D29" i="57" l="1"/>
  <c r="D6" i="57" s="1"/>
  <c r="F26" i="57"/>
  <c r="D21" i="3"/>
  <c r="F29" i="57" l="1"/>
  <c r="G26" i="57"/>
  <c r="H26" i="57" s="1"/>
  <c r="F178" i="1"/>
  <c r="M178" i="1"/>
  <c r="G178" i="1"/>
  <c r="F176" i="1"/>
  <c r="M176" i="1"/>
  <c r="G176" i="1"/>
  <c r="D4" i="58"/>
  <c r="F21" i="58"/>
  <c r="F25" i="57"/>
  <c r="G29" i="57" l="1"/>
  <c r="G6" i="57" s="1"/>
  <c r="F6" i="57"/>
  <c r="G21" i="58"/>
  <c r="H21" i="58" s="1"/>
  <c r="G25" i="57"/>
  <c r="H25" i="57" s="1"/>
  <c r="D5" i="57"/>
  <c r="F28" i="57"/>
  <c r="D7" i="57"/>
  <c r="D32" i="58"/>
  <c r="F47" i="58"/>
  <c r="G47" i="58" s="1"/>
  <c r="H47" i="58" s="1"/>
  <c r="F46" i="58"/>
  <c r="F45" i="58"/>
  <c r="F44" i="58"/>
  <c r="F43" i="58"/>
  <c r="D4" i="59"/>
  <c r="F31" i="63"/>
  <c r="F16" i="63"/>
  <c r="G28" i="57" l="1"/>
  <c r="G5" i="57" s="1"/>
  <c r="H28" i="57"/>
  <c r="H29" i="57"/>
  <c r="H6" i="57" s="1"/>
  <c r="H38" i="58"/>
  <c r="F5" i="57"/>
  <c r="H5" i="57"/>
  <c r="F32" i="58"/>
  <c r="F35" i="58" s="1"/>
  <c r="G46" i="58"/>
  <c r="H46" i="58" s="1"/>
  <c r="G31" i="63"/>
  <c r="H31" i="63" s="1"/>
  <c r="G16" i="63"/>
  <c r="H16" i="63" s="1"/>
  <c r="F24" i="57"/>
  <c r="F15" i="59"/>
  <c r="G15" i="59"/>
  <c r="H15" i="59" l="1"/>
  <c r="G24" i="57"/>
  <c r="H24" i="57" s="1"/>
  <c r="H9" i="57" s="1"/>
  <c r="H39" i="58"/>
  <c r="H36" i="58"/>
  <c r="H37" i="58"/>
  <c r="G32" i="58"/>
  <c r="G35" i="58" s="1"/>
  <c r="F20" i="58"/>
  <c r="H32" i="58" l="1"/>
  <c r="H35" i="58" s="1"/>
  <c r="H41" i="58" s="1"/>
  <c r="G20" i="58"/>
  <c r="H20" i="58" s="1"/>
  <c r="K136" i="1"/>
  <c r="K134" i="1"/>
  <c r="F175" i="1" l="1"/>
  <c r="G175" i="1"/>
  <c r="F174" i="1"/>
  <c r="G174" i="1"/>
  <c r="F173" i="1"/>
  <c r="M173" i="1"/>
  <c r="G173" i="1"/>
  <c r="F15" i="63" l="1"/>
  <c r="G15" i="63" l="1"/>
  <c r="H15" i="63" s="1"/>
  <c r="F171" i="1"/>
  <c r="M171" i="1"/>
  <c r="G171" i="1"/>
  <c r="F170" i="1"/>
  <c r="M170" i="1"/>
  <c r="G170" i="1"/>
  <c r="M172" i="1" l="1"/>
  <c r="M174" i="1"/>
  <c r="M175" i="1"/>
  <c r="B224" i="1" s="1"/>
  <c r="G172" i="1"/>
  <c r="F172" i="1"/>
  <c r="K141" i="1"/>
  <c r="K34" i="74" l="1"/>
  <c r="K33" i="74"/>
  <c r="F31" i="74"/>
  <c r="F30" i="74"/>
  <c r="K31" i="74" s="1"/>
  <c r="K36" i="74" s="1"/>
  <c r="F20" i="74"/>
  <c r="G20" i="74" s="1"/>
  <c r="H20" i="74" s="1"/>
  <c r="L11" i="74"/>
  <c r="F15" i="74"/>
  <c r="K35" i="74" s="1"/>
  <c r="F14" i="74"/>
  <c r="F13" i="74"/>
  <c r="F16" i="74" s="1"/>
  <c r="F4" i="74"/>
  <c r="G4" i="74" s="1"/>
  <c r="F3" i="74"/>
  <c r="F5" i="74" s="1"/>
  <c r="H35" i="74" l="1"/>
  <c r="H37" i="74"/>
  <c r="H8" i="74"/>
  <c r="L14" i="74" s="1"/>
  <c r="G3" i="74"/>
  <c r="G5" i="74" s="1"/>
  <c r="H6" i="74" s="1"/>
  <c r="G31" i="74"/>
  <c r="H31" i="74" s="1"/>
  <c r="L18" i="74"/>
  <c r="L19" i="74" s="1"/>
  <c r="L20" i="74" s="1"/>
  <c r="L21" i="74" s="1"/>
  <c r="G30" i="74"/>
  <c r="H4" i="74"/>
  <c r="H30" i="74" l="1"/>
  <c r="H32" i="74" s="1"/>
  <c r="H33" i="74"/>
  <c r="H3" i="74"/>
  <c r="H5" i="74" s="1"/>
  <c r="H7" i="74" s="1"/>
  <c r="L12" i="74" s="1"/>
  <c r="L15" i="74" s="1"/>
  <c r="F19" i="58"/>
  <c r="M31" i="74" l="1"/>
  <c r="M32" i="74" s="1"/>
  <c r="M35" i="74" s="1"/>
  <c r="H34" i="74"/>
  <c r="H38" i="74" s="1"/>
  <c r="G19" i="58"/>
  <c r="H19" i="58" s="1"/>
  <c r="F14" i="59" l="1"/>
  <c r="G14" i="59"/>
  <c r="F14" i="63"/>
  <c r="F3" i="63" s="1"/>
  <c r="F30" i="63"/>
  <c r="F29" i="63"/>
  <c r="G29" i="63" s="1"/>
  <c r="K166" i="1"/>
  <c r="H14" i="59" l="1"/>
  <c r="H29" i="63"/>
  <c r="G14" i="63"/>
  <c r="G30" i="63"/>
  <c r="H30" i="63" s="1"/>
  <c r="F169" i="1"/>
  <c r="M169" i="1"/>
  <c r="G169" i="1"/>
  <c r="H14" i="63" l="1"/>
  <c r="G3" i="63"/>
  <c r="D4" i="73"/>
  <c r="F168" i="1"/>
  <c r="M168" i="1"/>
  <c r="G168" i="1"/>
  <c r="F21" i="73"/>
  <c r="H3" i="63" l="1"/>
  <c r="G21" i="73"/>
  <c r="H21" i="73" s="1"/>
  <c r="F20" i="73" l="1"/>
  <c r="G20" i="73" s="1"/>
  <c r="H20" i="73" s="1"/>
  <c r="K153" i="1"/>
  <c r="K161" i="1" l="1"/>
  <c r="F167" i="1"/>
  <c r="F166" i="1"/>
  <c r="M167" i="1"/>
  <c r="M166" i="1"/>
  <c r="G167" i="1"/>
  <c r="G166" i="1"/>
  <c r="F18" i="73"/>
  <c r="G18" i="73" s="1"/>
  <c r="F19" i="73"/>
  <c r="G19" i="73" s="1"/>
  <c r="H19" i="73" s="1"/>
  <c r="F17" i="73"/>
  <c r="G17" i="73" s="1"/>
  <c r="F16" i="73"/>
  <c r="G16" i="73" s="1"/>
  <c r="F15" i="73"/>
  <c r="G15" i="73" s="1"/>
  <c r="F14" i="73"/>
  <c r="G14" i="73" s="1"/>
  <c r="H14" i="73" s="1"/>
  <c r="F13" i="73"/>
  <c r="G13" i="73" s="1"/>
  <c r="H13" i="73" s="1"/>
  <c r="F12" i="73"/>
  <c r="F4" i="73" s="1"/>
  <c r="F8" i="73" s="1"/>
  <c r="H7" i="73"/>
  <c r="H6" i="73"/>
  <c r="H5" i="73"/>
  <c r="H3" i="73"/>
  <c r="H16" i="73" l="1"/>
  <c r="G12" i="73"/>
  <c r="H12" i="73" s="1"/>
  <c r="H17" i="73"/>
  <c r="H15" i="73"/>
  <c r="H18" i="73"/>
  <c r="H9" i="73" l="1"/>
  <c r="H25" i="73"/>
  <c r="G4" i="73"/>
  <c r="G8" i="73" s="1"/>
  <c r="H11" i="72"/>
  <c r="H10" i="72"/>
  <c r="H9" i="72"/>
  <c r="H8" i="72"/>
  <c r="H7" i="72"/>
  <c r="H6" i="72"/>
  <c r="H5" i="72"/>
  <c r="H4" i="72"/>
  <c r="H3" i="72"/>
  <c r="H2" i="72"/>
  <c r="F13" i="58"/>
  <c r="F14" i="58"/>
  <c r="F15" i="58"/>
  <c r="F16" i="58"/>
  <c r="F17" i="58"/>
  <c r="F18" i="58"/>
  <c r="F12" i="58"/>
  <c r="F4" i="58" s="1"/>
  <c r="H4" i="73" l="1"/>
  <c r="H8" i="73" s="1"/>
  <c r="H10" i="73" s="1"/>
  <c r="F165" i="1" l="1"/>
  <c r="M165" i="1"/>
  <c r="G165" i="1"/>
  <c r="P11" i="58"/>
  <c r="Q11" i="58" s="1"/>
  <c r="N4" i="58"/>
  <c r="R11" i="58" l="1"/>
  <c r="Q4" i="58"/>
  <c r="Q7" i="58" s="1"/>
  <c r="P4" i="58"/>
  <c r="F164" i="1"/>
  <c r="M164" i="1"/>
  <c r="G164" i="1"/>
  <c r="P7" i="58" l="1"/>
  <c r="R4" i="58"/>
  <c r="R7" i="58" s="1"/>
  <c r="R9" i="58" s="1"/>
  <c r="F163" i="1"/>
  <c r="M163" i="1"/>
  <c r="G163" i="1"/>
  <c r="K33" i="1"/>
  <c r="K133" i="1" l="1"/>
  <c r="M162" i="1"/>
  <c r="F162" i="1"/>
  <c r="G162" i="1"/>
  <c r="F161" i="1" l="1"/>
  <c r="M161" i="1"/>
  <c r="G161" i="1"/>
  <c r="F160" i="1" l="1"/>
  <c r="M160" i="1"/>
  <c r="G160" i="1"/>
  <c r="K138" i="1" l="1"/>
  <c r="K32" i="1" l="1"/>
  <c r="F8" i="3"/>
  <c r="D8" i="3"/>
  <c r="F28" i="63"/>
  <c r="G28" i="63" l="1"/>
  <c r="H28" i="63" s="1"/>
  <c r="F13" i="59"/>
  <c r="G13" i="59" s="1"/>
  <c r="F23" i="57"/>
  <c r="G23" i="57"/>
  <c r="F27" i="63"/>
  <c r="F26" i="63"/>
  <c r="H13" i="59" l="1"/>
  <c r="H23" i="57"/>
  <c r="G27" i="63"/>
  <c r="H27" i="63" s="1"/>
  <c r="G26" i="63"/>
  <c r="F159" i="1"/>
  <c r="M159" i="1"/>
  <c r="G159" i="1"/>
  <c r="M34" i="1"/>
  <c r="G34" i="1"/>
  <c r="F34" i="1"/>
  <c r="H26" i="63" l="1"/>
  <c r="K140" i="1" l="1"/>
  <c r="F24" i="63" l="1"/>
  <c r="G24" i="63" l="1"/>
  <c r="H24" i="63" s="1"/>
  <c r="F158" i="1"/>
  <c r="M158" i="1"/>
  <c r="G158" i="1"/>
  <c r="M33" i="1" l="1"/>
  <c r="G33" i="1"/>
  <c r="F33" i="1"/>
  <c r="F157" i="1" l="1"/>
  <c r="M157" i="1"/>
  <c r="G157" i="1"/>
  <c r="F156" i="1"/>
  <c r="M156" i="1"/>
  <c r="G156" i="1"/>
  <c r="F52" i="57" l="1"/>
  <c r="G52" i="57" s="1"/>
  <c r="F22" i="57"/>
  <c r="K137" i="1"/>
  <c r="H52" i="57" l="1"/>
  <c r="G22" i="57"/>
  <c r="H22" i="57" s="1"/>
  <c r="F12" i="59"/>
  <c r="G12" i="59" l="1"/>
  <c r="H12" i="59"/>
  <c r="F51" i="57"/>
  <c r="F50" i="57"/>
  <c r="G50" i="57" s="1"/>
  <c r="H50" i="57" l="1"/>
  <c r="G18" i="58"/>
  <c r="G51" i="57"/>
  <c r="H18" i="58" l="1"/>
  <c r="H51" i="57"/>
  <c r="K131" i="1" l="1"/>
  <c r="F23" i="63" l="1"/>
  <c r="F25" i="63"/>
  <c r="G25" i="63" s="1"/>
  <c r="H25" i="63" s="1"/>
  <c r="M32" i="1"/>
  <c r="G32" i="1"/>
  <c r="F32" i="1"/>
  <c r="G23" i="63" l="1"/>
  <c r="H23" i="63" s="1"/>
  <c r="F49" i="57"/>
  <c r="H49" i="57" l="1"/>
  <c r="G49" i="57"/>
  <c r="F48" i="57"/>
  <c r="F47" i="57"/>
  <c r="G47" i="57"/>
  <c r="F155" i="1"/>
  <c r="M155" i="1"/>
  <c r="G155" i="1"/>
  <c r="H47" i="57" l="1"/>
  <c r="G48" i="57"/>
  <c r="H48" i="57" s="1"/>
  <c r="F21" i="57"/>
  <c r="G21" i="57" s="1"/>
  <c r="F46" i="57"/>
  <c r="G46" i="57" s="1"/>
  <c r="F45" i="57"/>
  <c r="G45" i="57" s="1"/>
  <c r="F44" i="57"/>
  <c r="M154" i="1"/>
  <c r="F154" i="1"/>
  <c r="G154" i="1"/>
  <c r="G44" i="57" l="1"/>
  <c r="H44" i="57" s="1"/>
  <c r="H21" i="57"/>
  <c r="G17" i="58"/>
  <c r="H17" i="58" s="1"/>
  <c r="H46" i="57"/>
  <c r="H45" i="57"/>
  <c r="S74" i="71" l="1"/>
  <c r="R74" i="71"/>
  <c r="Q74" i="71"/>
  <c r="P74" i="71"/>
  <c r="O74" i="71"/>
  <c r="N74" i="71"/>
  <c r="M74" i="71"/>
  <c r="L74" i="71"/>
  <c r="L33" i="71" s="1"/>
  <c r="K74" i="71"/>
  <c r="J74" i="71"/>
  <c r="I74" i="71"/>
  <c r="H74" i="71"/>
  <c r="G74" i="71"/>
  <c r="E74" i="71"/>
  <c r="D74" i="71"/>
  <c r="D33" i="71" s="1"/>
  <c r="C74" i="71"/>
  <c r="B74" i="71"/>
  <c r="S49" i="71"/>
  <c r="R49" i="71"/>
  <c r="R33" i="71" s="1"/>
  <c r="Q49" i="71"/>
  <c r="P49" i="71"/>
  <c r="P33" i="71" s="1"/>
  <c r="O49" i="71"/>
  <c r="N49" i="71"/>
  <c r="L49" i="71"/>
  <c r="K49" i="71"/>
  <c r="J49" i="71"/>
  <c r="H49" i="71"/>
  <c r="G49" i="71"/>
  <c r="E49" i="71"/>
  <c r="D49" i="71"/>
  <c r="C49" i="71"/>
  <c r="C33" i="71" s="1"/>
  <c r="B49" i="71"/>
  <c r="S34" i="71"/>
  <c r="R34" i="71"/>
  <c r="Q34" i="71"/>
  <c r="P34" i="71"/>
  <c r="O34" i="71"/>
  <c r="N34" i="71"/>
  <c r="N33" i="71" s="1"/>
  <c r="M34" i="71"/>
  <c r="L34" i="71"/>
  <c r="K34" i="71"/>
  <c r="K33" i="71" s="1"/>
  <c r="J34" i="71"/>
  <c r="I34" i="71"/>
  <c r="H34" i="71"/>
  <c r="G34" i="71"/>
  <c r="F34" i="71"/>
  <c r="E34" i="71"/>
  <c r="D34" i="71"/>
  <c r="B34" i="71"/>
  <c r="H33" i="71"/>
  <c r="I15" i="71"/>
  <c r="I14" i="71" s="1"/>
  <c r="H15" i="71"/>
  <c r="F14" i="71"/>
  <c r="S14" i="71"/>
  <c r="R14" i="71"/>
  <c r="R9" i="71" s="1"/>
  <c r="Q14" i="71"/>
  <c r="P14" i="71"/>
  <c r="P9" i="71" s="1"/>
  <c r="O14" i="71"/>
  <c r="N14" i="71"/>
  <c r="N9" i="71" s="1"/>
  <c r="M14" i="71"/>
  <c r="L14" i="71"/>
  <c r="K14" i="71"/>
  <c r="K9" i="71" s="1"/>
  <c r="J14" i="71"/>
  <c r="J9" i="71" s="1"/>
  <c r="H14" i="71"/>
  <c r="H9" i="71" s="1"/>
  <c r="G14" i="71"/>
  <c r="G9" i="71" s="1"/>
  <c r="E14" i="71"/>
  <c r="E9" i="71" s="1"/>
  <c r="D14" i="71"/>
  <c r="S10" i="71"/>
  <c r="S9" i="71" s="1"/>
  <c r="O10" i="71"/>
  <c r="M9" i="71"/>
  <c r="F10" i="71"/>
  <c r="C9" i="71"/>
  <c r="Q9" i="71"/>
  <c r="L9" i="71"/>
  <c r="D9" i="71"/>
  <c r="B9" i="71"/>
  <c r="S4" i="71"/>
  <c r="R4" i="71"/>
  <c r="Q4" i="71"/>
  <c r="P4" i="71"/>
  <c r="O4" i="71"/>
  <c r="N4" i="71"/>
  <c r="M4" i="71"/>
  <c r="L4" i="71"/>
  <c r="K4" i="71"/>
  <c r="J4" i="71"/>
  <c r="I4" i="71"/>
  <c r="H4" i="71"/>
  <c r="G4" i="71"/>
  <c r="F4" i="71"/>
  <c r="E4" i="71"/>
  <c r="D4" i="71"/>
  <c r="C4" i="71"/>
  <c r="B4" i="71"/>
  <c r="O33" i="71" l="1"/>
  <c r="E33" i="71"/>
  <c r="Q33" i="71"/>
  <c r="J33" i="71"/>
  <c r="S33" i="71"/>
  <c r="O9" i="71"/>
  <c r="F9" i="71"/>
  <c r="G33" i="71"/>
  <c r="B33" i="71"/>
  <c r="C33" i="3"/>
  <c r="I9" i="71"/>
  <c r="F43" i="57"/>
  <c r="F42" i="57"/>
  <c r="F152" i="1"/>
  <c r="M152" i="1"/>
  <c r="G152" i="1"/>
  <c r="F153" i="1"/>
  <c r="M153" i="1"/>
  <c r="G153" i="1"/>
  <c r="K146" i="1"/>
  <c r="F41" i="57"/>
  <c r="F22" i="63"/>
  <c r="F21" i="63"/>
  <c r="G21" i="63" s="1"/>
  <c r="F20" i="63"/>
  <c r="G20" i="63" s="1"/>
  <c r="F19" i="63"/>
  <c r="G19" i="63" s="1"/>
  <c r="H42" i="57" l="1"/>
  <c r="G42" i="57"/>
  <c r="G43" i="57"/>
  <c r="H43" i="57" s="1"/>
  <c r="H20" i="63"/>
  <c r="H19" i="63"/>
  <c r="H21" i="63"/>
  <c r="G41" i="57"/>
  <c r="F18" i="63"/>
  <c r="G18" i="63" s="1"/>
  <c r="H18" i="63" l="1"/>
  <c r="H41" i="57"/>
  <c r="F17" i="63" l="1"/>
  <c r="F4" i="63" s="1"/>
  <c r="F10" i="63" l="1"/>
  <c r="H8" i="63"/>
  <c r="H5" i="63"/>
  <c r="F11" i="59" l="1"/>
  <c r="G16" i="58"/>
  <c r="G15" i="58"/>
  <c r="G14" i="58"/>
  <c r="F40" i="57"/>
  <c r="G40" i="57" s="1"/>
  <c r="F39" i="57"/>
  <c r="G39" i="57" s="1"/>
  <c r="F4" i="59" l="1"/>
  <c r="F7" i="59" s="1"/>
  <c r="G11" i="59"/>
  <c r="G4" i="59" s="1"/>
  <c r="G7" i="59" s="1"/>
  <c r="H14" i="58"/>
  <c r="H16" i="58"/>
  <c r="G12" i="58"/>
  <c r="H15" i="58"/>
  <c r="H39" i="57"/>
  <c r="H40" i="57"/>
  <c r="F38" i="57"/>
  <c r="F37" i="57"/>
  <c r="G37" i="57" s="1"/>
  <c r="H37" i="57" l="1"/>
  <c r="H11" i="59"/>
  <c r="G38" i="57"/>
  <c r="H38" i="57" s="1"/>
  <c r="H12" i="58"/>
  <c r="F36" i="57"/>
  <c r="F35" i="57"/>
  <c r="H34" i="57"/>
  <c r="G34" i="57"/>
  <c r="F34" i="57"/>
  <c r="F33" i="57"/>
  <c r="G32" i="57"/>
  <c r="F32" i="57"/>
  <c r="F31" i="57"/>
  <c r="F30" i="57"/>
  <c r="G20" i="57"/>
  <c r="F20" i="57"/>
  <c r="F19" i="57"/>
  <c r="G19" i="57" s="1"/>
  <c r="F18" i="57"/>
  <c r="G18" i="57" s="1"/>
  <c r="F17" i="57"/>
  <c r="G16" i="57"/>
  <c r="F16" i="57"/>
  <c r="F15" i="57"/>
  <c r="F14" i="57"/>
  <c r="F13" i="57"/>
  <c r="G13" i="57" s="1"/>
  <c r="F12" i="57"/>
  <c r="F4" i="57" l="1"/>
  <c r="G17" i="57"/>
  <c r="H17" i="57" s="1"/>
  <c r="H36" i="57"/>
  <c r="G36" i="57"/>
  <c r="H13" i="57"/>
  <c r="G14" i="57"/>
  <c r="H32" i="57"/>
  <c r="H8" i="59"/>
  <c r="H4" i="59"/>
  <c r="H7" i="59" s="1"/>
  <c r="H20" i="57"/>
  <c r="F7" i="57"/>
  <c r="F8" i="57" s="1"/>
  <c r="H18" i="57"/>
  <c r="H14" i="57"/>
  <c r="H16" i="57"/>
  <c r="H19" i="57"/>
  <c r="G33" i="57"/>
  <c r="H33" i="57" s="1"/>
  <c r="H9" i="59" l="1"/>
  <c r="F41" i="56"/>
  <c r="F40" i="56"/>
  <c r="F39" i="56"/>
  <c r="F38" i="56"/>
  <c r="F37" i="56"/>
  <c r="K36" i="56"/>
  <c r="M36" i="56" s="1"/>
  <c r="F36" i="56"/>
  <c r="K34" i="56"/>
  <c r="M34" i="56" s="1"/>
  <c r="F34" i="56"/>
  <c r="D30" i="56"/>
  <c r="F29" i="56"/>
  <c r="F28" i="56"/>
  <c r="F27" i="56"/>
  <c r="F26" i="56"/>
  <c r="F25" i="56"/>
  <c r="F24" i="56"/>
  <c r="F23" i="56"/>
  <c r="F22" i="56"/>
  <c r="F21" i="56"/>
  <c r="F20" i="56"/>
  <c r="D18" i="56"/>
  <c r="F17" i="56"/>
  <c r="F16" i="56"/>
  <c r="F15" i="56"/>
  <c r="F14" i="56"/>
  <c r="F13" i="56"/>
  <c r="F12" i="56"/>
  <c r="F11" i="56"/>
  <c r="F9" i="56"/>
  <c r="D7" i="56"/>
  <c r="F6" i="56"/>
  <c r="F5" i="56"/>
  <c r="F3" i="56"/>
  <c r="O39" i="56" l="1"/>
  <c r="Q39" i="56"/>
  <c r="O34" i="56"/>
  <c r="Q34" i="56" s="1"/>
  <c r="K11" i="56"/>
  <c r="M11" i="56" s="1"/>
  <c r="F18" i="56"/>
  <c r="F7" i="56"/>
  <c r="F30" i="56"/>
  <c r="D33" i="50"/>
  <c r="F32" i="50"/>
  <c r="F31" i="50"/>
  <c r="G30" i="50"/>
  <c r="F30" i="50"/>
  <c r="F29" i="50"/>
  <c r="F28" i="50"/>
  <c r="G28" i="50" s="1"/>
  <c r="D27" i="50"/>
  <c r="D34" i="50" s="1"/>
  <c r="H30" i="50" l="1"/>
  <c r="F27" i="50"/>
  <c r="G27" i="50" s="1"/>
  <c r="H27" i="50"/>
  <c r="H28" i="50"/>
  <c r="K26" i="50"/>
  <c r="K34" i="50" s="1"/>
  <c r="F26" i="50"/>
  <c r="G26" i="50" l="1"/>
  <c r="M26" i="50"/>
  <c r="M34" i="50" l="1"/>
  <c r="N26" i="50"/>
  <c r="O26" i="50" s="1"/>
  <c r="O34" i="50" s="1"/>
  <c r="N34" i="50" s="1"/>
  <c r="H26" i="50"/>
  <c r="K23" i="50"/>
  <c r="M23" i="50" s="1"/>
  <c r="F23" i="50"/>
  <c r="N23" i="50" l="1"/>
  <c r="O23" i="50"/>
  <c r="K20" i="50"/>
  <c r="M20" i="50" s="1"/>
  <c r="N20" i="50" s="1"/>
  <c r="F20" i="50"/>
  <c r="K17" i="50"/>
  <c r="M17" i="50" s="1"/>
  <c r="N17" i="50" s="1"/>
  <c r="F17" i="50"/>
  <c r="F14" i="50"/>
  <c r="D13" i="50"/>
  <c r="D15" i="50" s="1"/>
  <c r="F12" i="50"/>
  <c r="F11" i="50"/>
  <c r="F10" i="50"/>
  <c r="F9" i="50"/>
  <c r="F8" i="50"/>
  <c r="G7" i="50"/>
  <c r="H7" i="50" s="1"/>
  <c r="F7" i="50"/>
  <c r="F6" i="50"/>
  <c r="G6" i="50" s="1"/>
  <c r="F5" i="50"/>
  <c r="F4" i="50"/>
  <c r="O17" i="50" l="1"/>
  <c r="O20" i="50"/>
  <c r="H6" i="50"/>
  <c r="F3" i="50"/>
  <c r="G13" i="49" l="1"/>
  <c r="H13" i="49" s="1"/>
  <c r="G11" i="49"/>
  <c r="G9" i="49"/>
  <c r="G7" i="49"/>
  <c r="G5" i="49"/>
  <c r="H5" i="49" s="1"/>
  <c r="G3" i="49"/>
  <c r="I5" i="49" l="1"/>
  <c r="G15" i="49"/>
  <c r="I13" i="49" s="1"/>
  <c r="B39" i="32" l="1"/>
  <c r="M34" i="32"/>
  <c r="G34" i="32"/>
  <c r="F34" i="32"/>
  <c r="M33" i="32"/>
  <c r="G33" i="32"/>
  <c r="F33" i="32"/>
  <c r="M32" i="32"/>
  <c r="G32" i="32"/>
  <c r="F32" i="32"/>
  <c r="M31" i="32"/>
  <c r="G31" i="32"/>
  <c r="F31" i="32"/>
  <c r="M30" i="32"/>
  <c r="G30" i="32"/>
  <c r="F30" i="32"/>
  <c r="M29" i="32"/>
  <c r="G29" i="32"/>
  <c r="F29" i="32"/>
  <c r="M20" i="32"/>
  <c r="G20" i="32"/>
  <c r="F20" i="32"/>
  <c r="M19" i="32"/>
  <c r="G19" i="32"/>
  <c r="F19" i="32"/>
  <c r="P18" i="32"/>
  <c r="M18" i="32"/>
  <c r="G18" i="32"/>
  <c r="F18" i="32"/>
  <c r="P17" i="32"/>
  <c r="M17" i="32"/>
  <c r="G17" i="32"/>
  <c r="F17" i="32"/>
  <c r="P16" i="32"/>
  <c r="M16" i="32"/>
  <c r="G16" i="32"/>
  <c r="F16" i="32"/>
  <c r="E11" i="32"/>
  <c r="C10" i="32"/>
  <c r="C11" i="32" s="1"/>
  <c r="C8" i="32"/>
  <c r="B40" i="32" l="1"/>
  <c r="B38" i="32"/>
  <c r="B41" i="32" s="1"/>
  <c r="H6" i="39"/>
  <c r="H5" i="39"/>
  <c r="H4" i="39"/>
  <c r="H3" i="39"/>
  <c r="H2" i="39"/>
  <c r="M49" i="71" l="1"/>
  <c r="M33" i="71" s="1"/>
  <c r="F70" i="71" l="1"/>
  <c r="F49" i="71" l="1"/>
  <c r="J5" i="36" l="1"/>
  <c r="H5" i="36"/>
  <c r="F5" i="36"/>
  <c r="J4" i="36"/>
  <c r="H4" i="36"/>
  <c r="F4" i="36"/>
  <c r="I49" i="71" s="1"/>
  <c r="I33" i="71" s="1"/>
  <c r="J3" i="36"/>
  <c r="H3" i="36"/>
  <c r="F3" i="36"/>
  <c r="J2" i="36"/>
  <c r="H2" i="36"/>
  <c r="F2" i="36"/>
  <c r="F109" i="25" l="1"/>
  <c r="H106" i="25"/>
  <c r="F102" i="25"/>
  <c r="F105" i="25" s="1"/>
  <c r="D102" i="25"/>
  <c r="F95" i="25" l="1"/>
  <c r="H92" i="25"/>
  <c r="D88" i="25"/>
  <c r="F81" i="25"/>
  <c r="G81" i="25" s="1"/>
  <c r="F80" i="25"/>
  <c r="G80" i="25" s="1"/>
  <c r="H80" i="25" s="1"/>
  <c r="H81" i="25" l="1"/>
  <c r="G95" i="25"/>
  <c r="H95" i="25" s="1"/>
  <c r="F79" i="25"/>
  <c r="H76" i="25"/>
  <c r="G79" i="25" l="1"/>
  <c r="H79" i="25" s="1"/>
  <c r="F74" i="25" l="1"/>
  <c r="D74" i="25"/>
  <c r="D72" i="25"/>
  <c r="F63" i="25"/>
  <c r="G63" i="25" s="1"/>
  <c r="F62" i="25"/>
  <c r="F61" i="25"/>
  <c r="F60" i="25"/>
  <c r="F59" i="25"/>
  <c r="F58" i="25"/>
  <c r="F57" i="25"/>
  <c r="G57" i="25" s="1"/>
  <c r="F56" i="25"/>
  <c r="G56" i="25" s="1"/>
  <c r="G59" i="25" l="1"/>
  <c r="H59" i="25" s="1"/>
  <c r="H60" i="25"/>
  <c r="H57" i="25"/>
  <c r="G58" i="25"/>
  <c r="H58" i="25" s="1"/>
  <c r="H56" i="25"/>
  <c r="G60" i="25"/>
  <c r="F55" i="25"/>
  <c r="F54" i="25"/>
  <c r="F53" i="25"/>
  <c r="G53" i="25" s="1"/>
  <c r="F52" i="25"/>
  <c r="F51" i="25"/>
  <c r="F50" i="25"/>
  <c r="F49" i="25"/>
  <c r="G49" i="25" s="1"/>
  <c r="F48" i="25"/>
  <c r="G48" i="25" s="1"/>
  <c r="F47" i="25"/>
  <c r="F46" i="25"/>
  <c r="G55" i="25" l="1"/>
  <c r="H55" i="25" s="1"/>
  <c r="G52" i="25"/>
  <c r="H52" i="25" s="1"/>
  <c r="G51" i="25"/>
  <c r="H51" i="25" s="1"/>
  <c r="H49" i="25"/>
  <c r="H48" i="25"/>
  <c r="G50" i="25"/>
  <c r="H50" i="25" s="1"/>
  <c r="H53" i="25"/>
  <c r="F45" i="25"/>
  <c r="F44" i="25"/>
  <c r="F43" i="25"/>
  <c r="F42" i="25"/>
  <c r="F41" i="25" l="1"/>
  <c r="G41" i="25" l="1"/>
  <c r="H41" i="25" s="1"/>
  <c r="D40" i="25"/>
  <c r="F39" i="25"/>
  <c r="F38" i="25"/>
  <c r="F37" i="25" l="1"/>
  <c r="F36" i="25"/>
  <c r="G37" i="25" l="1"/>
  <c r="H37" i="25" s="1"/>
  <c r="F35" i="25"/>
  <c r="D34" i="25"/>
  <c r="F33" i="25"/>
  <c r="F32" i="25"/>
  <c r="D31" i="25"/>
  <c r="F30" i="25"/>
  <c r="G30" i="25" s="1"/>
  <c r="F29" i="25"/>
  <c r="G29" i="25" s="1"/>
  <c r="F28" i="25"/>
  <c r="G28" i="25" s="1"/>
  <c r="H30" i="25" l="1"/>
  <c r="H28" i="25"/>
  <c r="H29" i="25"/>
  <c r="G27" i="25"/>
  <c r="H27" i="25" s="1"/>
  <c r="F27" i="25"/>
  <c r="F26" i="25" l="1"/>
  <c r="F25" i="25"/>
  <c r="G25" i="25" s="1"/>
  <c r="H25" i="25" l="1"/>
  <c r="G26" i="25"/>
  <c r="H26" i="25" s="1"/>
  <c r="F24" i="25" l="1"/>
  <c r="F23" i="25"/>
  <c r="G23" i="25" s="1"/>
  <c r="F22" i="25"/>
  <c r="H23" i="25" l="1"/>
  <c r="G24" i="25"/>
  <c r="H24" i="25" s="1"/>
  <c r="F21" i="25" l="1"/>
  <c r="G21" i="25" l="1"/>
  <c r="H21" i="25" s="1"/>
  <c r="F20" i="25"/>
  <c r="G20" i="25" l="1"/>
  <c r="H20" i="25" s="1"/>
  <c r="F19" i="25" l="1"/>
  <c r="F18" i="25"/>
  <c r="F17" i="25"/>
  <c r="G17" i="25" s="1"/>
  <c r="F16" i="25"/>
  <c r="F15" i="25"/>
  <c r="F14" i="25"/>
  <c r="G14" i="25" s="1"/>
  <c r="H14" i="25" l="1"/>
  <c r="H17" i="25"/>
  <c r="G18" i="25"/>
  <c r="H18" i="25"/>
  <c r="G19" i="25"/>
  <c r="H19" i="25" s="1"/>
  <c r="F13" i="25" l="1"/>
  <c r="H9" i="25"/>
  <c r="G13" i="25" l="1"/>
  <c r="H13" i="25" s="1"/>
  <c r="H6" i="25" l="1"/>
  <c r="D5" i="25"/>
  <c r="F4" i="25" l="1"/>
  <c r="D4" i="25"/>
  <c r="D3" i="25"/>
  <c r="D226" i="1"/>
  <c r="M211" i="1" l="1"/>
  <c r="G211" i="1"/>
  <c r="F211" i="1"/>
  <c r="M210" i="1" l="1"/>
  <c r="G210" i="1"/>
  <c r="F210" i="1"/>
  <c r="M209" i="1"/>
  <c r="G209" i="1"/>
  <c r="F209" i="1" l="1"/>
  <c r="M208" i="1"/>
  <c r="G208" i="1"/>
  <c r="F208" i="1"/>
  <c r="M207" i="1"/>
  <c r="G207" i="1"/>
  <c r="F207" i="1"/>
  <c r="M206" i="1"/>
  <c r="G206" i="1"/>
  <c r="F206" i="1"/>
  <c r="M205" i="1"/>
  <c r="G205" i="1"/>
  <c r="F205" i="1"/>
  <c r="M204" i="1"/>
  <c r="G204" i="1"/>
  <c r="F204" i="1"/>
  <c r="M203" i="1"/>
  <c r="G203" i="1"/>
  <c r="F203" i="1" l="1"/>
  <c r="M202" i="1"/>
  <c r="G202" i="1"/>
  <c r="F202" i="1"/>
  <c r="M201" i="1" l="1"/>
  <c r="G201" i="1"/>
  <c r="F201" i="1"/>
  <c r="M200" i="1"/>
  <c r="G200" i="1"/>
  <c r="F200" i="1" l="1"/>
  <c r="K199" i="1"/>
  <c r="M199" i="1" s="1"/>
  <c r="B223" i="1" s="1"/>
  <c r="G199" i="1"/>
  <c r="F199" i="1" l="1"/>
  <c r="M198" i="1"/>
  <c r="G198" i="1"/>
  <c r="F198" i="1"/>
  <c r="M197" i="1"/>
  <c r="G197" i="1"/>
  <c r="F197" i="1"/>
  <c r="M196" i="1"/>
  <c r="G196" i="1" l="1"/>
  <c r="F196" i="1"/>
  <c r="K195" i="1"/>
  <c r="M195" i="1" s="1"/>
  <c r="G195" i="1"/>
  <c r="F195" i="1"/>
  <c r="M194" i="1"/>
  <c r="G194" i="1"/>
  <c r="F194" i="1"/>
  <c r="M193" i="1"/>
  <c r="G193" i="1"/>
  <c r="F193" i="1"/>
  <c r="M151" i="1"/>
  <c r="G151" i="1"/>
  <c r="F151" i="1"/>
  <c r="M150" i="1"/>
  <c r="G150" i="1"/>
  <c r="F150" i="1"/>
  <c r="K149" i="1"/>
  <c r="M149" i="1" s="1"/>
  <c r="G149" i="1" l="1"/>
  <c r="F149" i="1"/>
  <c r="M148" i="1"/>
  <c r="B221" i="1" s="1"/>
  <c r="G148" i="1"/>
  <c r="F148" i="1"/>
  <c r="M147" i="1"/>
  <c r="B216" i="1" s="1"/>
  <c r="G147" i="1"/>
  <c r="F147" i="1"/>
  <c r="M146" i="1"/>
  <c r="G146" i="1"/>
  <c r="F146" i="1"/>
  <c r="M145" i="1"/>
  <c r="G145" i="1"/>
  <c r="F145" i="1"/>
  <c r="M144" i="1"/>
  <c r="G144" i="1"/>
  <c r="F144" i="1"/>
  <c r="M143" i="1"/>
  <c r="G143" i="1"/>
  <c r="F143" i="1"/>
  <c r="M142" i="1"/>
  <c r="G142" i="1"/>
  <c r="F142" i="1"/>
  <c r="M141" i="1"/>
  <c r="G141" i="1"/>
  <c r="B222" i="1" l="1"/>
  <c r="F141" i="1"/>
  <c r="M140" i="1"/>
  <c r="G140" i="1"/>
  <c r="F140" i="1"/>
  <c r="K139" i="1" l="1"/>
  <c r="M139" i="1" s="1"/>
  <c r="G139" i="1"/>
  <c r="F139" i="1"/>
  <c r="M138" i="1"/>
  <c r="G138" i="1"/>
  <c r="F138" i="1"/>
  <c r="M137" i="1"/>
  <c r="G137" i="1"/>
  <c r="F137" i="1"/>
  <c r="M136" i="1"/>
  <c r="G136" i="1"/>
  <c r="F136" i="1" l="1"/>
  <c r="K135" i="1"/>
  <c r="M135" i="1" s="1"/>
  <c r="G135" i="1"/>
  <c r="F135" i="1"/>
  <c r="M134" i="1"/>
  <c r="G134" i="1"/>
  <c r="F134" i="1"/>
  <c r="M133" i="1"/>
  <c r="G133" i="1"/>
  <c r="F133" i="1"/>
  <c r="K132" i="1"/>
  <c r="M132" i="1" s="1"/>
  <c r="G132" i="1"/>
  <c r="F132" i="1" l="1"/>
  <c r="M131" i="1"/>
  <c r="G131" i="1"/>
  <c r="F131" i="1" l="1"/>
  <c r="K130" i="1"/>
  <c r="M130" i="1" s="1"/>
  <c r="G130" i="1"/>
  <c r="F130" i="1"/>
  <c r="K129" i="1"/>
  <c r="M129" i="1" s="1"/>
  <c r="G129" i="1"/>
  <c r="F129" i="1"/>
  <c r="K128" i="1"/>
  <c r="M128" i="1" s="1"/>
  <c r="G128" i="1"/>
  <c r="F128" i="1"/>
  <c r="K127" i="1" l="1"/>
  <c r="M127" i="1" s="1"/>
  <c r="G127" i="1"/>
  <c r="F127" i="1"/>
  <c r="M126" i="1"/>
  <c r="G126" i="1"/>
  <c r="F126" i="1"/>
  <c r="K125" i="1"/>
  <c r="M125" i="1" s="1"/>
  <c r="G125" i="1"/>
  <c r="F125" i="1"/>
  <c r="K124" i="1"/>
  <c r="M124" i="1" s="1"/>
  <c r="G124" i="1"/>
  <c r="F124" i="1"/>
  <c r="M123" i="1"/>
  <c r="G123" i="1"/>
  <c r="K122" i="1" l="1"/>
  <c r="M122" i="1" s="1"/>
  <c r="B219" i="1" s="1"/>
  <c r="G122" i="1"/>
  <c r="F122" i="1"/>
  <c r="K121" i="1"/>
  <c r="M121" i="1" s="1"/>
  <c r="G121" i="1"/>
  <c r="F121" i="1"/>
  <c r="K120" i="1"/>
  <c r="M120" i="1" s="1"/>
  <c r="G120" i="1"/>
  <c r="F120" i="1" l="1"/>
  <c r="M119" i="1"/>
  <c r="G119" i="1"/>
  <c r="F119" i="1" l="1"/>
  <c r="K118" i="1" l="1"/>
  <c r="M118" i="1" s="1"/>
  <c r="G118" i="1"/>
  <c r="F118" i="1"/>
  <c r="K117" i="1" l="1"/>
  <c r="M117" i="1" s="1"/>
  <c r="G117" i="1"/>
  <c r="F117" i="1"/>
  <c r="M116" i="1"/>
  <c r="G116" i="1"/>
  <c r="F116" i="1"/>
  <c r="K115" i="1" l="1"/>
  <c r="M115" i="1" s="1"/>
  <c r="G115" i="1"/>
  <c r="F115" i="1"/>
  <c r="M114" i="1"/>
  <c r="G114" i="1"/>
  <c r="F114" i="1"/>
  <c r="K113" i="1" l="1"/>
  <c r="M113" i="1" s="1"/>
  <c r="G113" i="1"/>
  <c r="F113" i="1"/>
  <c r="K112" i="1" l="1"/>
  <c r="M112" i="1" s="1"/>
  <c r="G112" i="1"/>
  <c r="F112" i="1"/>
  <c r="M111" i="1"/>
  <c r="G111" i="1"/>
  <c r="F111" i="1" l="1"/>
  <c r="K110" i="1"/>
  <c r="M110" i="1" s="1"/>
  <c r="G110" i="1"/>
  <c r="F110" i="1" l="1"/>
  <c r="K109" i="1" l="1"/>
  <c r="M109" i="1" s="1"/>
  <c r="G109" i="1"/>
  <c r="F109" i="1" l="1"/>
  <c r="K108" i="1"/>
  <c r="M108" i="1" s="1"/>
  <c r="G108" i="1"/>
  <c r="F108" i="1" l="1"/>
  <c r="M107" i="1"/>
  <c r="G107" i="1"/>
  <c r="F107" i="1" l="1"/>
  <c r="M106" i="1"/>
  <c r="K106" i="1"/>
  <c r="G106" i="1"/>
  <c r="F106" i="1"/>
  <c r="M105" i="1"/>
  <c r="G105" i="1"/>
  <c r="F105" i="1" l="1"/>
  <c r="K104" i="1"/>
  <c r="M104" i="1" s="1"/>
  <c r="G104" i="1"/>
  <c r="F104" i="1" l="1"/>
  <c r="K103" i="1" l="1"/>
  <c r="M103" i="1" s="1"/>
  <c r="G103" i="1"/>
  <c r="F103" i="1"/>
  <c r="K102" i="1"/>
  <c r="M102" i="1" s="1"/>
  <c r="G102" i="1"/>
  <c r="F102" i="1" l="1"/>
  <c r="M101" i="1"/>
  <c r="B217" i="1" s="1"/>
  <c r="G101" i="1"/>
  <c r="F101" i="1"/>
  <c r="K100" i="1" l="1"/>
  <c r="M100" i="1" s="1"/>
  <c r="G100" i="1"/>
  <c r="F100" i="1"/>
  <c r="K99" i="1"/>
  <c r="M99" i="1" s="1"/>
  <c r="G99" i="1"/>
  <c r="F99" i="1"/>
  <c r="K98" i="1" l="1"/>
  <c r="M98" i="1" s="1"/>
  <c r="G98" i="1"/>
  <c r="F98" i="1"/>
  <c r="K97" i="1"/>
  <c r="M97" i="1" s="1"/>
  <c r="G97" i="1"/>
  <c r="F97" i="1"/>
  <c r="K96" i="1"/>
  <c r="M96" i="1" s="1"/>
  <c r="G96" i="1" l="1"/>
  <c r="F96" i="1"/>
  <c r="K95" i="1"/>
  <c r="M95" i="1" s="1"/>
  <c r="G95" i="1"/>
  <c r="F95" i="1"/>
  <c r="K94" i="1"/>
  <c r="M94" i="1" s="1"/>
  <c r="G94" i="1" l="1"/>
  <c r="F94" i="1"/>
  <c r="K93" i="1"/>
  <c r="M93" i="1" s="1"/>
  <c r="G93" i="1"/>
  <c r="F93" i="1"/>
  <c r="K92" i="1"/>
  <c r="M92" i="1" s="1"/>
  <c r="G92" i="1" l="1"/>
  <c r="F92" i="1"/>
  <c r="K91" i="1"/>
  <c r="M91" i="1" s="1"/>
  <c r="G91" i="1" l="1"/>
  <c r="F91" i="1"/>
  <c r="K90" i="1" l="1"/>
  <c r="M90" i="1" s="1"/>
  <c r="G90" i="1" l="1"/>
  <c r="F90" i="1"/>
  <c r="K89" i="1" l="1"/>
  <c r="M89" i="1" s="1"/>
  <c r="G89" i="1" l="1"/>
  <c r="F89" i="1"/>
  <c r="M88" i="1"/>
  <c r="G88" i="1" l="1"/>
  <c r="F88" i="1"/>
  <c r="K87" i="1"/>
  <c r="M87" i="1" s="1"/>
  <c r="G87" i="1"/>
  <c r="F87" i="1"/>
  <c r="M86" i="1"/>
  <c r="G86" i="1"/>
  <c r="F86" i="1"/>
  <c r="M85" i="1"/>
  <c r="G85" i="1" l="1"/>
  <c r="F85" i="1"/>
  <c r="K84" i="1"/>
  <c r="M84" i="1" s="1"/>
  <c r="G84" i="1" l="1"/>
  <c r="F84" i="1"/>
  <c r="K83" i="1"/>
  <c r="M83" i="1" s="1"/>
  <c r="G83" i="1"/>
  <c r="F83" i="1"/>
  <c r="K82" i="1"/>
  <c r="M82" i="1" s="1"/>
  <c r="G82" i="1"/>
  <c r="F82" i="1"/>
  <c r="K81" i="1" l="1"/>
  <c r="M81" i="1" s="1"/>
  <c r="G81" i="1"/>
  <c r="F81" i="1"/>
  <c r="K80" i="1" l="1"/>
  <c r="M80" i="1" s="1"/>
  <c r="G80" i="1" l="1"/>
  <c r="F80" i="1"/>
  <c r="M79" i="1"/>
  <c r="G79" i="1" l="1"/>
  <c r="F79" i="1"/>
  <c r="K78" i="1" l="1"/>
  <c r="M78" i="1" s="1"/>
  <c r="G78" i="1"/>
  <c r="F78" i="1"/>
  <c r="K77" i="1" l="1"/>
  <c r="M77" i="1" s="1"/>
  <c r="G77" i="1"/>
  <c r="F77" i="1"/>
  <c r="K76" i="1" l="1"/>
  <c r="M76" i="1" s="1"/>
  <c r="G76" i="1"/>
  <c r="F76" i="1" l="1"/>
  <c r="K75" i="1"/>
  <c r="M75" i="1" s="1"/>
  <c r="G75" i="1"/>
  <c r="F75" i="1"/>
  <c r="K74" i="1" l="1"/>
  <c r="M74" i="1" s="1"/>
  <c r="F74" i="1"/>
  <c r="M73" i="1"/>
  <c r="F73" i="1"/>
  <c r="K72" i="1"/>
  <c r="M72" i="1" s="1"/>
  <c r="G72" i="1"/>
  <c r="F72" i="1"/>
  <c r="K71" i="1" l="1"/>
  <c r="M71" i="1" s="1"/>
  <c r="G71" i="1"/>
  <c r="F71" i="1"/>
  <c r="K70" i="1"/>
  <c r="M70" i="1" s="1"/>
  <c r="F70" i="1" l="1"/>
  <c r="K69" i="1" l="1"/>
  <c r="M69" i="1" s="1"/>
  <c r="G69" i="1" l="1"/>
  <c r="F69" i="1"/>
  <c r="K68" i="1"/>
  <c r="G68" i="1"/>
  <c r="F68" i="1"/>
  <c r="M68" i="1" l="1"/>
  <c r="K67" i="1"/>
  <c r="M67" i="1" s="1"/>
  <c r="G67" i="1" l="1"/>
  <c r="F67" i="1"/>
  <c r="M66" i="1"/>
  <c r="G66" i="1"/>
  <c r="F66" i="1"/>
  <c r="M65" i="1"/>
  <c r="F65" i="1"/>
  <c r="K64" i="1" l="1"/>
  <c r="M64" i="1" s="1"/>
  <c r="F64" i="1"/>
  <c r="K63" i="1" l="1"/>
  <c r="M63" i="1" s="1"/>
  <c r="G63" i="1"/>
  <c r="F63" i="1"/>
  <c r="K62" i="1"/>
  <c r="F62" i="1"/>
  <c r="K61" i="1"/>
  <c r="M61" i="1" s="1"/>
  <c r="F61" i="1"/>
  <c r="M60" i="1"/>
  <c r="F60" i="1"/>
  <c r="K59" i="1"/>
  <c r="M59" i="1" s="1"/>
  <c r="F59" i="1"/>
  <c r="M58" i="1"/>
  <c r="F58" i="1"/>
  <c r="M57" i="1"/>
  <c r="F57" i="1"/>
  <c r="M56" i="1"/>
  <c r="G56" i="1"/>
  <c r="M62" i="1" l="1"/>
  <c r="F56" i="1"/>
  <c r="K55" i="1"/>
  <c r="F55" i="1"/>
  <c r="K54" i="1"/>
  <c r="M54" i="1" s="1"/>
  <c r="G54" i="1"/>
  <c r="F54" i="1"/>
  <c r="K53" i="1"/>
  <c r="M53" i="1" s="1"/>
  <c r="G53" i="1"/>
  <c r="M55" i="1" l="1"/>
  <c r="F53" i="1"/>
  <c r="K52" i="1"/>
  <c r="G52" i="1"/>
  <c r="F52" i="1"/>
  <c r="M51" i="1"/>
  <c r="G51" i="1"/>
  <c r="F51" i="1"/>
  <c r="M50" i="1"/>
  <c r="G50" i="1"/>
  <c r="F50" i="1"/>
  <c r="M49" i="1"/>
  <c r="F49" i="1"/>
  <c r="M48" i="1"/>
  <c r="F48" i="1"/>
  <c r="K47" i="1"/>
  <c r="F47" i="1"/>
  <c r="M47" i="1" l="1"/>
  <c r="M52" i="1"/>
  <c r="K46" i="1"/>
  <c r="M46" i="1" s="1"/>
  <c r="F46" i="1"/>
  <c r="M45" i="1"/>
  <c r="F45" i="1"/>
  <c r="K44" i="1"/>
  <c r="F44" i="1"/>
  <c r="K43" i="1"/>
  <c r="M43" i="1" s="1"/>
  <c r="F43" i="1"/>
  <c r="M42" i="1"/>
  <c r="F42" i="1"/>
  <c r="M44" i="1" l="1"/>
  <c r="K41" i="1"/>
  <c r="M41" i="1" s="1"/>
  <c r="F41" i="1"/>
  <c r="K40" i="1" l="1"/>
  <c r="M40" i="1" s="1"/>
  <c r="F40" i="1"/>
  <c r="M39" i="1"/>
  <c r="B218" i="1" s="1"/>
  <c r="G39" i="1"/>
  <c r="F39" i="1"/>
  <c r="M31" i="1"/>
  <c r="G31" i="1"/>
  <c r="F31" i="1"/>
  <c r="K30" i="1"/>
  <c r="M30" i="1" s="1"/>
  <c r="C218" i="1" s="1"/>
  <c r="G30" i="1"/>
  <c r="F30" i="1"/>
  <c r="M29" i="1"/>
  <c r="G29" i="1"/>
  <c r="F29" i="1"/>
  <c r="B226" i="1" l="1"/>
  <c r="C225" i="1" s="1"/>
  <c r="C226" i="1" s="1"/>
  <c r="K28" i="1"/>
  <c r="M28" i="1" s="1"/>
  <c r="G28" i="1"/>
  <c r="F28" i="1"/>
  <c r="M27" i="1" l="1"/>
  <c r="G27" i="1"/>
  <c r="F27" i="1"/>
  <c r="K26" i="1"/>
  <c r="M26" i="1" s="1"/>
  <c r="G26" i="1"/>
  <c r="F26" i="1"/>
  <c r="M25" i="1"/>
  <c r="G25" i="1"/>
  <c r="F25" i="1"/>
  <c r="K24" i="1" l="1"/>
  <c r="M24" i="1" s="1"/>
  <c r="G24" i="1"/>
  <c r="F24" i="1"/>
  <c r="K23" i="1" l="1"/>
  <c r="M23" i="1" s="1"/>
  <c r="G23" i="1"/>
  <c r="F23" i="1"/>
  <c r="K22" i="1"/>
  <c r="M22" i="1" s="1"/>
  <c r="G22" i="1"/>
  <c r="F22" i="1"/>
  <c r="K21" i="1" l="1"/>
  <c r="M21" i="1" s="1"/>
  <c r="G21" i="1"/>
  <c r="F21" i="1"/>
  <c r="K20" i="1" l="1"/>
  <c r="M20" i="1" s="1"/>
  <c r="G20" i="1"/>
  <c r="F20" i="1"/>
  <c r="M19" i="1"/>
  <c r="G19" i="1"/>
  <c r="F19" i="1"/>
  <c r="K18" i="1"/>
  <c r="M18" i="1" s="1"/>
  <c r="G18" i="1"/>
  <c r="F18" i="1"/>
  <c r="K17" i="1"/>
  <c r="M17" i="1" s="1"/>
  <c r="G17" i="1"/>
  <c r="F17" i="1"/>
  <c r="K16" i="1" l="1"/>
  <c r="M16" i="1" s="1"/>
  <c r="G16" i="1" l="1"/>
  <c r="F16" i="1"/>
  <c r="M15" i="1"/>
  <c r="F15" i="1"/>
  <c r="K14" i="1"/>
  <c r="M14" i="1" s="1"/>
  <c r="F14" i="1"/>
  <c r="K13" i="1"/>
  <c r="M13" i="1" s="1"/>
  <c r="F13" i="1"/>
  <c r="K12" i="1"/>
  <c r="M12" i="1" s="1"/>
  <c r="G12" i="1"/>
  <c r="F12" i="1"/>
  <c r="M11" i="1"/>
  <c r="G11" i="1"/>
  <c r="F11" i="1"/>
  <c r="K10" i="1"/>
  <c r="F10" i="1"/>
  <c r="M9" i="1"/>
  <c r="G9" i="1"/>
  <c r="F9" i="1"/>
  <c r="K8" i="1"/>
  <c r="F8" i="1"/>
  <c r="M7" i="1"/>
  <c r="G7" i="1"/>
  <c r="F7" i="1"/>
  <c r="M6" i="1"/>
  <c r="F6" i="1"/>
  <c r="M5" i="1"/>
  <c r="F5" i="1"/>
  <c r="K4" i="1"/>
  <c r="J4" i="1"/>
  <c r="F4" i="1"/>
  <c r="M8" i="1" l="1"/>
  <c r="M10" i="1"/>
  <c r="M4" i="1"/>
  <c r="F43" i="5"/>
  <c r="E43" i="5"/>
  <c r="G42" i="5"/>
  <c r="G43" i="5" l="1"/>
  <c r="G41" i="5"/>
  <c r="G40" i="5"/>
  <c r="G39" i="5"/>
  <c r="G38" i="5"/>
  <c r="F75" i="71" l="1"/>
  <c r="F74" i="71" s="1"/>
  <c r="F33" i="71" s="1"/>
  <c r="F37" i="5"/>
  <c r="E37" i="5"/>
  <c r="G36" i="5"/>
  <c r="G35" i="5"/>
  <c r="F34" i="5"/>
  <c r="E34" i="5"/>
  <c r="G34" i="5" s="1"/>
  <c r="G33" i="5"/>
  <c r="G32" i="5"/>
  <c r="G31" i="5"/>
  <c r="G30" i="5"/>
  <c r="G29" i="5"/>
  <c r="G28" i="5"/>
  <c r="F28" i="5"/>
  <c r="E28" i="5"/>
  <c r="G27" i="5"/>
  <c r="G26" i="5"/>
  <c r="G37" i="5" l="1"/>
  <c r="F25" i="5"/>
  <c r="E25" i="5"/>
  <c r="G24" i="5"/>
  <c r="G23" i="5"/>
  <c r="G22" i="5"/>
  <c r="G21" i="5"/>
  <c r="G20" i="5"/>
  <c r="F19" i="5"/>
  <c r="E19" i="5"/>
  <c r="G19" i="5" s="1"/>
  <c r="G18" i="5"/>
  <c r="G17" i="5"/>
  <c r="G25" i="5" l="1"/>
  <c r="F16" i="5"/>
  <c r="F45" i="5" s="1"/>
  <c r="E16" i="5"/>
  <c r="G16" i="5" s="1"/>
  <c r="G15" i="5"/>
  <c r="G14" i="5"/>
  <c r="G13" i="5"/>
  <c r="G12" i="5"/>
  <c r="G11" i="5"/>
  <c r="F10" i="5"/>
  <c r="E10" i="5"/>
  <c r="G9" i="5"/>
  <c r="G8" i="5"/>
  <c r="G10" i="5" s="1"/>
  <c r="G7" i="5"/>
  <c r="G6" i="5"/>
  <c r="G45" i="5" l="1"/>
  <c r="E45" i="5"/>
  <c r="C79" i="3"/>
  <c r="C76" i="3" l="1"/>
  <c r="C73" i="3" l="1"/>
  <c r="C69" i="3" l="1"/>
  <c r="C67" i="3"/>
  <c r="C70" i="3" s="1"/>
  <c r="C59" i="3"/>
  <c r="C54" i="3" l="1"/>
  <c r="C51" i="3" l="1"/>
  <c r="C48" i="3" l="1"/>
  <c r="C45" i="3"/>
  <c r="C36" i="3"/>
  <c r="C18" i="3" l="1"/>
  <c r="C15" i="3" l="1"/>
  <c r="C12" i="3"/>
  <c r="C9" i="3"/>
  <c r="A1" i="3" l="1"/>
  <c r="B79" i="71" l="1"/>
  <c r="S79" i="71"/>
  <c r="R79" i="71"/>
  <c r="Q79" i="71"/>
  <c r="O79" i="71"/>
  <c r="N79" i="71"/>
  <c r="M79" i="71"/>
  <c r="L79" i="71"/>
  <c r="K79" i="71"/>
  <c r="J79" i="71"/>
  <c r="H79" i="71"/>
  <c r="G79" i="71"/>
  <c r="E79" i="71"/>
  <c r="D79" i="71"/>
  <c r="G22" i="63"/>
  <c r="J16" i="79" l="1"/>
  <c r="J14" i="79"/>
  <c r="H14" i="79"/>
  <c r="P79" i="71"/>
  <c r="H22" i="63"/>
  <c r="G17" i="63"/>
  <c r="G4" i="63" s="1"/>
  <c r="H16" i="79" l="1"/>
  <c r="G10" i="63"/>
  <c r="H15" i="79"/>
  <c r="J15" i="79"/>
  <c r="H17" i="63"/>
  <c r="H85" i="63" l="1"/>
  <c r="H4" i="63"/>
  <c r="H10" i="63" s="1"/>
  <c r="H11" i="63"/>
  <c r="I79" i="71"/>
  <c r="I82" i="71" s="1"/>
  <c r="C79" i="71"/>
  <c r="G13" i="58"/>
  <c r="G4" i="58" s="1"/>
  <c r="F7" i="58"/>
  <c r="H12" i="63" l="1"/>
  <c r="C82" i="71"/>
  <c r="G7" i="58"/>
  <c r="H13" i="58"/>
  <c r="H8" i="58" s="1"/>
  <c r="H13" i="79" l="1"/>
  <c r="J13" i="79"/>
  <c r="H4" i="58"/>
  <c r="H7" i="58" s="1"/>
  <c r="H10" i="58" s="1"/>
  <c r="F79" i="71" l="1"/>
  <c r="G12" i="57"/>
  <c r="H12" i="57"/>
  <c r="G15" i="57"/>
  <c r="H15" i="57" s="1"/>
  <c r="G30" i="57"/>
  <c r="H30" i="57"/>
  <c r="G31" i="57"/>
  <c r="H31" i="57" s="1"/>
  <c r="G35" i="57"/>
  <c r="H35" i="57"/>
  <c r="H7" i="57" l="1"/>
  <c r="G7" i="57"/>
  <c r="H4" i="57"/>
  <c r="H8" i="57" s="1"/>
  <c r="G4" i="57"/>
  <c r="G8" i="57" s="1"/>
  <c r="F82" i="71"/>
  <c r="H10" i="57"/>
  <c r="E18" i="79" l="1"/>
  <c r="H12" i="79"/>
  <c r="J12" i="79"/>
  <c r="E28" i="79" l="1"/>
  <c r="J18" i="79"/>
  <c r="H18" i="79"/>
  <c r="J28" i="79" l="1"/>
  <c r="H28" i="79"/>
  <c r="G16" i="25"/>
  <c r="G4" i="25"/>
  <c r="H4" i="25"/>
  <c r="F3" i="25"/>
  <c r="G15" i="25"/>
  <c r="G3" i="25"/>
  <c r="H3" i="25"/>
  <c r="F5" i="25"/>
  <c r="K3" i="50"/>
  <c r="M3" i="50"/>
  <c r="F7" i="25"/>
  <c r="F8" i="25"/>
  <c r="G5" i="25"/>
  <c r="H5" i="25"/>
  <c r="G22" i="25"/>
  <c r="F31" i="25"/>
  <c r="G31" i="25"/>
  <c r="G32" i="25"/>
  <c r="G33" i="25"/>
  <c r="F34" i="25"/>
  <c r="G34" i="25"/>
  <c r="G35" i="25"/>
  <c r="G36" i="25"/>
  <c r="G38" i="25"/>
  <c r="G39" i="25"/>
  <c r="F40" i="25"/>
  <c r="G40" i="25"/>
  <c r="G42" i="25"/>
  <c r="G43" i="25"/>
  <c r="G44" i="25"/>
  <c r="G45" i="25"/>
  <c r="G46" i="25"/>
  <c r="G47" i="25"/>
  <c r="G54" i="25"/>
  <c r="G61" i="25"/>
  <c r="G62" i="25"/>
  <c r="G7" i="25"/>
  <c r="H7" i="25"/>
  <c r="H8" i="25"/>
  <c r="H10" i="25"/>
  <c r="G8" i="25"/>
  <c r="H63" i="25"/>
  <c r="H42" i="25"/>
  <c r="H43" i="25"/>
  <c r="H44" i="25"/>
  <c r="H45" i="25"/>
  <c r="H46" i="25"/>
  <c r="H47" i="25"/>
  <c r="H54" i="25"/>
  <c r="H67" i="25"/>
  <c r="H16" i="25"/>
  <c r="H15" i="25"/>
  <c r="H22" i="25"/>
  <c r="H32" i="25"/>
  <c r="H33" i="25"/>
  <c r="H34" i="25"/>
  <c r="H35" i="25"/>
  <c r="H31" i="25"/>
  <c r="H36" i="25"/>
  <c r="H39" i="25"/>
  <c r="H38" i="25"/>
  <c r="H40" i="25"/>
  <c r="H61" i="25"/>
  <c r="H62" i="25"/>
  <c r="G74" i="25"/>
  <c r="H74" i="25"/>
  <c r="F72" i="25"/>
  <c r="G72" i="25"/>
  <c r="H72" i="25"/>
  <c r="F75" i="25"/>
  <c r="G75" i="25"/>
  <c r="H75" i="25"/>
  <c r="H77" i="25"/>
  <c r="H88" i="25"/>
  <c r="H91" i="25"/>
  <c r="H93" i="25"/>
  <c r="F88" i="25"/>
  <c r="F91" i="25"/>
  <c r="G88" i="25"/>
  <c r="G91" i="25"/>
  <c r="G109" i="25"/>
  <c r="H109" i="25"/>
  <c r="H102" i="25"/>
  <c r="H105" i="25"/>
  <c r="H107" i="25"/>
  <c r="G102" i="25"/>
  <c r="G105" i="25"/>
  <c r="H7" i="49"/>
  <c r="I7" i="49"/>
  <c r="H11" i="49"/>
  <c r="I11" i="49"/>
  <c r="H9" i="49"/>
  <c r="I9" i="49"/>
  <c r="H3" i="49"/>
  <c r="I3" i="49"/>
  <c r="H15" i="49"/>
  <c r="I15" i="49"/>
  <c r="G9" i="50"/>
  <c r="H9" i="50"/>
  <c r="G14" i="50"/>
  <c r="H14" i="50"/>
  <c r="G10" i="50"/>
  <c r="H10" i="50"/>
  <c r="G12" i="50"/>
  <c r="H12" i="50"/>
  <c r="G5" i="50"/>
  <c r="H5" i="50"/>
  <c r="G17" i="50"/>
  <c r="H17" i="50"/>
  <c r="G4" i="50"/>
  <c r="H4" i="50"/>
  <c r="N3" i="50"/>
  <c r="N15" i="50"/>
  <c r="O3" i="50"/>
  <c r="O15" i="50"/>
  <c r="G20" i="50"/>
  <c r="H20" i="50"/>
  <c r="G8" i="50"/>
  <c r="H8" i="50"/>
  <c r="G29" i="50"/>
  <c r="H29" i="50"/>
  <c r="G31" i="50"/>
  <c r="H31" i="50"/>
  <c r="G32" i="50"/>
  <c r="H32" i="50"/>
  <c r="F33" i="50"/>
  <c r="G33" i="50"/>
  <c r="H33" i="50"/>
  <c r="H34" i="50"/>
  <c r="F13" i="50"/>
  <c r="F15" i="50"/>
  <c r="G15" i="50"/>
  <c r="M15" i="50"/>
  <c r="G13" i="50"/>
  <c r="H13" i="50"/>
  <c r="G23" i="50"/>
  <c r="H23" i="50"/>
  <c r="G11" i="50"/>
  <c r="H11" i="50"/>
  <c r="D7" i="25"/>
  <c r="H15" i="50"/>
  <c r="K15" i="50"/>
  <c r="G3" i="50"/>
  <c r="H3" i="50"/>
  <c r="G34" i="50"/>
  <c r="K17" i="56"/>
  <c r="M17" i="56"/>
  <c r="K23" i="56"/>
  <c r="M23" i="56"/>
  <c r="K24" i="56"/>
  <c r="M24" i="56"/>
  <c r="K22" i="56"/>
  <c r="M22" i="56"/>
  <c r="K29" i="56"/>
  <c r="M29" i="56"/>
  <c r="K3" i="56"/>
  <c r="M3" i="56"/>
  <c r="K26" i="56"/>
  <c r="M26" i="56"/>
  <c r="K25" i="56"/>
  <c r="M25" i="56"/>
  <c r="K5" i="56"/>
  <c r="M5" i="56"/>
  <c r="K6" i="56"/>
  <c r="M6" i="56"/>
  <c r="M7" i="56"/>
  <c r="K28" i="56"/>
  <c r="M28" i="56"/>
  <c r="K9" i="56"/>
  <c r="M9" i="56"/>
  <c r="K12" i="56"/>
  <c r="K13" i="56"/>
  <c r="K14" i="56"/>
  <c r="K15" i="56"/>
  <c r="K16" i="56"/>
  <c r="K18" i="56"/>
  <c r="M12" i="56"/>
  <c r="M13" i="56"/>
  <c r="M14" i="56"/>
  <c r="M15" i="56"/>
  <c r="M16" i="56"/>
  <c r="M18" i="56"/>
  <c r="K20" i="56"/>
  <c r="K21" i="56"/>
  <c r="K27" i="56"/>
  <c r="K30" i="56"/>
  <c r="M20" i="56"/>
  <c r="M21" i="56"/>
  <c r="M27" i="56"/>
  <c r="M30" i="56"/>
  <c r="F34" i="50"/>
  <c r="K7" i="5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</author>
  </authors>
  <commentList>
    <comment ref="F1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RECTTE AGENCE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<sst xmlns="http://schemas.openxmlformats.org/spreadsheetml/2006/main" count="7448" uniqueCount="1881">
  <si>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</si>
  <si>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</si>
  <si>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</si>
  <si>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</si>
  <si>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</si>
  <si>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</si>
  <si>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</si>
  <si>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</si>
  <si>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</si>
  <si>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</si>
  <si>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</si>
  <si>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</si>
  <si>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</si>
  <si>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</si>
  <si>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</si>
  <si>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</si>
  <si>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</si>
  <si>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</si>
  <si>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</si>
  <si>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</si>
  <si>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</si>
  <si>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</si>
  <si>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</si>
  <si>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</si>
  <si>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</si>
  <si>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</si>
  <si>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</si>
  <si>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</si>
  <si>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</si>
  <si>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</si>
  <si>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</si>
  <si>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</si>
  <si>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</si>
  <si>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</si>
  <si>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</si>
  <si>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</si>
  <si>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</si>
  <si>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</si>
  <si>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</si>
  <si>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</si>
  <si>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</si>
  <si>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</si>
  <si>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</si>
  <si>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</si>
  <si>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</si>
  <si>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</si>
  <si>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</si>
  <si>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</si>
  <si>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</si>
  <si>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</si>
  <si>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</si>
  <si>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</si>
  <si>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</si>
  <si>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</si>
  <si>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</si>
  <si>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</si>
  <si>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</si>
  <si>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</si>
  <si>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</si>
  <si>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</si>
  <si>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</si>
  <si>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</si>
  <si>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</si>
  <si>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</si>
  <si>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</si>
  <si>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</si>
  <si>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</si>
  <si>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</si>
  <si>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</si>
  <si>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</si>
  <si>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</si>
  <si>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</si>
  <si>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</si>
  <si>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</si>
  <si>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</si>
  <si>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</si>
  <si>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</si>
  <si>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</si>
  <si>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</si>
  <si>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</si>
  <si>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</si>
  <si>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</si>
  <si>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</si>
  <si>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</si>
  <si>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</si>
  <si>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</si>
  <si>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</si>
  <si>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</si>
  <si>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</si>
  <si>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</si>
  <si>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</si>
  <si>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</si>
  <si>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</si>
  <si>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</si>
  <si>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</si>
  <si>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</si>
  <si>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</si>
  <si>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</si>
  <si>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</si>
  <si>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</si>
  <si>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</si>
  <si>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</si>
  <si>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</si>
  <si>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</si>
  <si>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</si>
  <si>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</si>
  <si>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</si>
  <si>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</si>
  <si>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</si>
  <si>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</si>
  <si>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</si>
  <si>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</si>
  <si>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</si>
  <si>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</si>
  <si>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</si>
  <si>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</si>
  <si>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</si>
  <si>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</si>
  <si>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</si>
  <si>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</si>
  <si>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</si>
  <si>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</si>
  <si>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</si>
  <si>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</si>
  <si>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</si>
  <si>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</si>
  <si>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</si>
  <si>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</si>
  <si>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VENTE DEVISE</t>
  </si>
  <si>
    <t>Biasin</t>
  </si>
  <si>
    <t>FN160046</t>
  </si>
  <si>
    <t>FN160050</t>
  </si>
  <si>
    <t>FN160051</t>
  </si>
  <si>
    <t>FN160045</t>
  </si>
  <si>
    <t>FN160054</t>
  </si>
  <si>
    <t>FN160053</t>
  </si>
  <si>
    <t>FN160055</t>
  </si>
  <si>
    <t>FN160052</t>
  </si>
  <si>
    <t>FN160058</t>
  </si>
  <si>
    <t>FN160059</t>
  </si>
  <si>
    <t>FN160060</t>
  </si>
  <si>
    <t>EL HARAMAIN</t>
  </si>
  <si>
    <t>FN160066</t>
  </si>
  <si>
    <t>FN160065</t>
  </si>
  <si>
    <t>FN160067</t>
  </si>
  <si>
    <t>FN160068</t>
  </si>
  <si>
    <t>FN160069</t>
  </si>
  <si>
    <t>FN160072</t>
  </si>
  <si>
    <t>FN160075</t>
  </si>
  <si>
    <t>FN160076</t>
  </si>
  <si>
    <t>EX160014</t>
  </si>
  <si>
    <t>FN160077</t>
  </si>
  <si>
    <t>EX160015</t>
  </si>
  <si>
    <t>EURO MEG</t>
  </si>
  <si>
    <t>FN160082</t>
  </si>
  <si>
    <t>FN160084</t>
  </si>
  <si>
    <t>REGLEMENT FINAL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</si>
  <si>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</si>
  <si>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</si>
  <si>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</si>
  <si>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</si>
  <si>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</si>
  <si>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</si>
  <si>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</si>
  <si>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$ MEG</t>
  </si>
  <si>
    <t>EX170003</t>
  </si>
  <si>
    <t>FN170008</t>
  </si>
  <si>
    <t>KG</t>
  </si>
  <si>
    <t>FN170013</t>
  </si>
  <si>
    <t>FN170014</t>
  </si>
  <si>
    <t>EX170004</t>
  </si>
  <si>
    <t>FN170017</t>
  </si>
  <si>
    <t>FN170020</t>
  </si>
  <si>
    <t>HEMPE</t>
  </si>
  <si>
    <t>DECHET BATTERIE</t>
  </si>
  <si>
    <t>EX170005</t>
  </si>
  <si>
    <t>FN170024</t>
  </si>
  <si>
    <t>FN170025</t>
  </si>
  <si>
    <t>EX170006</t>
  </si>
  <si>
    <t>EX170007</t>
  </si>
  <si>
    <t xml:space="preserve">HEMPE </t>
  </si>
  <si>
    <t>FH170001</t>
  </si>
  <si>
    <t>FH170002</t>
  </si>
  <si>
    <t>FH170003</t>
  </si>
  <si>
    <t>FH170004</t>
  </si>
  <si>
    <t>Z I</t>
  </si>
  <si>
    <t>ALPHA</t>
  </si>
  <si>
    <t>FN170027</t>
  </si>
  <si>
    <t>Plomb local</t>
  </si>
  <si>
    <t>Placement</t>
  </si>
  <si>
    <t>CEMT</t>
  </si>
  <si>
    <t>TAUX CNY/TND</t>
  </si>
  <si>
    <t>FH170005</t>
  </si>
  <si>
    <t>FN170030</t>
  </si>
  <si>
    <t>FH170006</t>
  </si>
  <si>
    <t>FN170031</t>
  </si>
  <si>
    <t>FH170007</t>
  </si>
  <si>
    <t>FH170008</t>
  </si>
  <si>
    <t>FH170009</t>
  </si>
  <si>
    <t>EX170008</t>
  </si>
  <si>
    <t>FN170038</t>
  </si>
  <si>
    <t>FH170010</t>
  </si>
  <si>
    <t>FN170039</t>
  </si>
  <si>
    <t>FH170011</t>
  </si>
  <si>
    <t>FN170040</t>
  </si>
  <si>
    <t>FN170041</t>
  </si>
  <si>
    <t>kg</t>
  </si>
  <si>
    <t>FH170012</t>
  </si>
  <si>
    <t>FN170044</t>
  </si>
  <si>
    <t>FN170046</t>
  </si>
  <si>
    <t>FN170047</t>
  </si>
  <si>
    <t>EX170009</t>
  </si>
  <si>
    <t>FN170048</t>
  </si>
  <si>
    <t>FH170013</t>
  </si>
  <si>
    <t>FN170049</t>
  </si>
  <si>
    <t>FN170050</t>
  </si>
  <si>
    <t>EX170010</t>
  </si>
  <si>
    <t>BILLET DE TRESORERIE</t>
  </si>
  <si>
    <t>FN170057</t>
  </si>
  <si>
    <t>FN170058</t>
  </si>
  <si>
    <t>FH170014</t>
  </si>
  <si>
    <t>FH170015</t>
  </si>
  <si>
    <t>FN170059</t>
  </si>
  <si>
    <t>FN170060</t>
  </si>
  <si>
    <t>EX170011</t>
  </si>
  <si>
    <t>FH170016</t>
  </si>
  <si>
    <t>FN170061</t>
  </si>
  <si>
    <t>FH170017</t>
  </si>
  <si>
    <t>FN180001</t>
  </si>
  <si>
    <t>FN180002</t>
  </si>
  <si>
    <t>FH180001</t>
  </si>
  <si>
    <t>BATTERIEDIENST</t>
  </si>
  <si>
    <t>FH180002</t>
  </si>
  <si>
    <t>FN180005</t>
  </si>
  <si>
    <t>RESTITUTION TVA</t>
  </si>
  <si>
    <t>NOURAKKUMULATOREN</t>
  </si>
  <si>
    <t>FN180008</t>
  </si>
  <si>
    <t>FN180007</t>
  </si>
  <si>
    <t>NOUR Allemagne</t>
  </si>
  <si>
    <t>EX180002</t>
  </si>
  <si>
    <t>EX180001</t>
  </si>
  <si>
    <t>FN180016</t>
  </si>
  <si>
    <t>FN180014</t>
  </si>
  <si>
    <t>TOTAL CRASSE</t>
  </si>
  <si>
    <t>TOTAL DECHET BATTERIE</t>
  </si>
  <si>
    <t>TOTAL ETAIN</t>
  </si>
  <si>
    <t>TOTAL VIEUX PLOMB</t>
  </si>
  <si>
    <t>REGLEMENT RECU</t>
  </si>
  <si>
    <t>RESTE A PAYER</t>
  </si>
  <si>
    <t>QUANTITE NON FACTURE</t>
  </si>
  <si>
    <t>FN180015</t>
  </si>
  <si>
    <t>OBLIGATION DOUANES</t>
  </si>
  <si>
    <t>FN180020</t>
  </si>
  <si>
    <t>FN180019</t>
  </si>
  <si>
    <t>FN180021</t>
  </si>
  <si>
    <t>WIRTZ</t>
  </si>
  <si>
    <t>COPLOSA</t>
  </si>
  <si>
    <t>Allemagne</t>
  </si>
  <si>
    <t>PRIME INVESTISSEMENT</t>
  </si>
  <si>
    <t>FN180022</t>
  </si>
  <si>
    <t>FN180026</t>
  </si>
  <si>
    <t>FN180025</t>
  </si>
  <si>
    <t>TOTAL ALIMINIUM</t>
  </si>
  <si>
    <t>FN180030</t>
  </si>
  <si>
    <t>FN180031</t>
  </si>
  <si>
    <t>Difference</t>
  </si>
  <si>
    <t>PLOMB</t>
  </si>
  <si>
    <t>FN180034</t>
  </si>
  <si>
    <t>Adr fact</t>
  </si>
  <si>
    <t>Nom</t>
  </si>
  <si>
    <t>1r05211</t>
  </si>
  <si>
    <t>7R20002</t>
  </si>
  <si>
    <t>HAROUNI HAFSIA BT MOHAMED</t>
  </si>
  <si>
    <t>STE MBABET AUTO</t>
  </si>
  <si>
    <t>6R21178</t>
  </si>
  <si>
    <t>STE COGEPA</t>
  </si>
  <si>
    <t>TAHER MESTIRI</t>
  </si>
  <si>
    <t>6R23139</t>
  </si>
  <si>
    <t>AWADNI MAATOUG</t>
  </si>
  <si>
    <t>6R23155</t>
  </si>
  <si>
    <t>7R16041</t>
  </si>
  <si>
    <t>SALEM AGIL</t>
  </si>
  <si>
    <t>6R21179</t>
  </si>
  <si>
    <t>BAHRI GNAOUI</t>
  </si>
  <si>
    <t>IMED BEN ZEKRI</t>
  </si>
  <si>
    <t>AMEL ZGUIDENE EP SADFI</t>
  </si>
  <si>
    <t>MOHAMED ZARAGA  Z P A</t>
  </si>
  <si>
    <t>ABDELKADER MOEZ BEN LAMINE</t>
  </si>
  <si>
    <t>STE DOGHRI AL BARAKA</t>
  </si>
  <si>
    <t>1r02243</t>
  </si>
  <si>
    <t>STE GLOBAL PIECES AUTOS</t>
  </si>
  <si>
    <t>MOHAMED BEN MOHAMED SAMIR</t>
  </si>
  <si>
    <t>1r05171</t>
  </si>
  <si>
    <t>STE L'HORIZON DE PIECES DE</t>
  </si>
  <si>
    <t>1r06020</t>
  </si>
  <si>
    <t>STE MED ALI DE PIECES DE</t>
  </si>
  <si>
    <t>BOUAZIZ SLAH</t>
  </si>
  <si>
    <t>3R18254</t>
  </si>
  <si>
    <t>MOHAMED KCHAOU</t>
  </si>
  <si>
    <t>3R18401</t>
  </si>
  <si>
    <t>TAHER BEN AMOR MAHJOUBI</t>
  </si>
  <si>
    <t>4R14056</t>
  </si>
  <si>
    <t>MEHREZ BEN MOHAMED GUIZANI</t>
  </si>
  <si>
    <t>4R15055</t>
  </si>
  <si>
    <t>6R21118</t>
  </si>
  <si>
    <t>ETS SALAH KOTNI 2</t>
  </si>
  <si>
    <t>6R23048</t>
  </si>
  <si>
    <t>TAIEB GHRIBI</t>
  </si>
  <si>
    <t>8R08037</t>
  </si>
  <si>
    <t>FIDHA AMINE B FATHI B HEDI</t>
  </si>
  <si>
    <t>8R09044</t>
  </si>
  <si>
    <t>KOUKI FAOUZI</t>
  </si>
  <si>
    <t>8R09060</t>
  </si>
  <si>
    <t>SAMIR BEN SLIMEN AOUADI</t>
  </si>
  <si>
    <t>LAJNAF SALHA</t>
  </si>
  <si>
    <t>1R03074</t>
  </si>
  <si>
    <t>BEJI FAYCEL</t>
  </si>
  <si>
    <t>3R18053</t>
  </si>
  <si>
    <t>HACHICHA THAMEUR</t>
  </si>
  <si>
    <t>3R18274</t>
  </si>
  <si>
    <t>STE HSOUNA FRIKHA ET FILS</t>
  </si>
  <si>
    <t>HAIKEL BEN MOULDI ESSAHLI</t>
  </si>
  <si>
    <t>HAMDA MALEK BEN JILANI</t>
  </si>
  <si>
    <t>STE ARFA AUTO PLUS</t>
  </si>
  <si>
    <t>MOHAMED RACHED AMAMOU</t>
  </si>
  <si>
    <t>STE SAAIDI PIECES  RECHANGE</t>
  </si>
  <si>
    <t>1R06020</t>
  </si>
  <si>
    <t>FAOUZI MECHRGUI</t>
  </si>
  <si>
    <t>3R18123</t>
  </si>
  <si>
    <t>WAJDI BOUZGENDA</t>
  </si>
  <si>
    <t>3R18375</t>
  </si>
  <si>
    <t>MOHAMED AMINE BEN AMOR</t>
  </si>
  <si>
    <t>8R09054</t>
  </si>
  <si>
    <t>OUESLATI LOTFI B BELGACEM</t>
  </si>
  <si>
    <t>4R13116</t>
  </si>
  <si>
    <t>AHMED BEN ALI TEKAYA</t>
  </si>
  <si>
    <t>3R18384</t>
  </si>
  <si>
    <t>STE DES PIECES DE RECHANGE</t>
  </si>
  <si>
    <t>MANAI WAHID</t>
  </si>
  <si>
    <t>1r05103</t>
  </si>
  <si>
    <t>JALEL BEN AHMED EL GABSI</t>
  </si>
  <si>
    <t>STE ALBOURAQ PIECES AUTO</t>
  </si>
  <si>
    <t>3R18061</t>
  </si>
  <si>
    <t>COPI  AUTOS</t>
  </si>
  <si>
    <t>SOCIETE GENERAL DE PIECES</t>
  </si>
  <si>
    <t>4R12228</t>
  </si>
  <si>
    <t>SOCIETE DARDOUR ET FILS</t>
  </si>
  <si>
    <t>3R18072</t>
  </si>
  <si>
    <t>SIRAJ BEN ZINA</t>
  </si>
  <si>
    <t>3R18207</t>
  </si>
  <si>
    <t>SMAOUI MOHSEN</t>
  </si>
  <si>
    <t>4R12236</t>
  </si>
  <si>
    <t>STE ELECTRICIA AUTO</t>
  </si>
  <si>
    <t>AMOR BEN ABDRAHMENE BIBANI</t>
  </si>
  <si>
    <t>1r02224</t>
  </si>
  <si>
    <t>STE SO CO PA</t>
  </si>
  <si>
    <t>NOUREDDINE B MOHAMOUD KNIOUA</t>
  </si>
  <si>
    <t>3R18234</t>
  </si>
  <si>
    <t>STE CDTPR</t>
  </si>
  <si>
    <t>KHALED DRIDI</t>
  </si>
  <si>
    <t>BEJI CHEDLY</t>
  </si>
  <si>
    <t>MONDHER MEFTAH</t>
  </si>
  <si>
    <t>LES EQUIPEMENTS MARITIMES DE</t>
  </si>
  <si>
    <t>1r02238</t>
  </si>
  <si>
    <t>SMPA MASMOUDI PIECES AUTOS</t>
  </si>
  <si>
    <t>BELGACEM BEN BOUBAKER MEJRI</t>
  </si>
  <si>
    <t>JALELEDDINE B SALEM ZERELLI</t>
  </si>
  <si>
    <t>NEJI EL JAZI</t>
  </si>
  <si>
    <t>AYMEN BEN HAMMADI BENAMOR</t>
  </si>
  <si>
    <t>SOUHEIL TEKAYA</t>
  </si>
  <si>
    <t>SOUFIANE MANNAI</t>
  </si>
  <si>
    <t>ALI BEN BRAHIM HAMMAMI</t>
  </si>
  <si>
    <t>BOURAOUI LAMTI</t>
  </si>
  <si>
    <t>3R18317</t>
  </si>
  <si>
    <t>KALLEL HATEM</t>
  </si>
  <si>
    <t>3R18373</t>
  </si>
  <si>
    <t>MAKNI HANEN</t>
  </si>
  <si>
    <t>3R18389</t>
  </si>
  <si>
    <t>7R17047</t>
  </si>
  <si>
    <t>ARBI BEN ALIU GHARBI</t>
  </si>
  <si>
    <t>7R22039</t>
  </si>
  <si>
    <t>DOUIK PIECES AUTOS</t>
  </si>
  <si>
    <t>4R14007</t>
  </si>
  <si>
    <t>PIECES AUTOS BEN ALAYA MED</t>
  </si>
  <si>
    <t>STE M W AUTO'S</t>
  </si>
  <si>
    <t>8R08045</t>
  </si>
  <si>
    <t>STE AOULED KHDHIRI SARL</t>
  </si>
  <si>
    <t>8R09020</t>
  </si>
  <si>
    <t>MAKREM ZAMMALI</t>
  </si>
  <si>
    <t>8R10052</t>
  </si>
  <si>
    <t>STE MAIS</t>
  </si>
  <si>
    <t>1r01445</t>
  </si>
  <si>
    <t>COMPTOIR METOUIEN AUTOMOBILE</t>
  </si>
  <si>
    <t>RAMEH JAMILA BEN SADOK</t>
  </si>
  <si>
    <t>CHEDLY AOUINI</t>
  </si>
  <si>
    <t>SOCIETE BOUJNAH</t>
  </si>
  <si>
    <t>SOCIETE HNIA</t>
  </si>
  <si>
    <t>HASSINI AHMED BEN MOHAMED</t>
  </si>
  <si>
    <t>ABDELKADER B YOUSSEF GHARBI</t>
  </si>
  <si>
    <t>MAJED BEN MED HAMMAMI</t>
  </si>
  <si>
    <t>STE ELECTRIC AUTO NABEUL</t>
  </si>
  <si>
    <t>TAHER KABOUS ROYAL AUTO</t>
  </si>
  <si>
    <t>SOCIETE AUTOS PIECES</t>
  </si>
  <si>
    <t>CHHIMI HENDA</t>
  </si>
  <si>
    <t>3R18101</t>
  </si>
  <si>
    <t>ETAB. FARHAT BOUJELBAN</t>
  </si>
  <si>
    <t>3R18104</t>
  </si>
  <si>
    <t>ISMAIL TOUNSI</t>
  </si>
  <si>
    <t>3R18119</t>
  </si>
  <si>
    <t>ZOUARI FRERES</t>
  </si>
  <si>
    <t>3R18337</t>
  </si>
  <si>
    <t>SOCIETE ALI PIECES AUTOS</t>
  </si>
  <si>
    <t>STE IDEALE PIECES AUTOS SIPA</t>
  </si>
  <si>
    <t>3R18380</t>
  </si>
  <si>
    <t>STE SLIM VENTE PIECES AUTOS</t>
  </si>
  <si>
    <t>3R18396</t>
  </si>
  <si>
    <t>6R21145</t>
  </si>
  <si>
    <t>SOCIETE EL HOUIOUI</t>
  </si>
  <si>
    <t>6R23143</t>
  </si>
  <si>
    <t>HAOUARI CHOKRI</t>
  </si>
  <si>
    <t>ZAMMOURIA FATMA EPS MANSOURI</t>
  </si>
  <si>
    <t>8R10040</t>
  </si>
  <si>
    <t>ROJDI BEN MOHAMED KRAOUII</t>
  </si>
  <si>
    <t>3R18381</t>
  </si>
  <si>
    <t>STE DREAM CAR</t>
  </si>
  <si>
    <t>3R15038</t>
  </si>
  <si>
    <t>ANIS BEN KHALIPHA RHAIEM</t>
  </si>
  <si>
    <t>AURADIS</t>
  </si>
  <si>
    <t>4R13115</t>
  </si>
  <si>
    <t>SOCIETE WORLD PARTS</t>
  </si>
  <si>
    <t>STE AVENIR AUTO</t>
  </si>
  <si>
    <t>STE SUD MOTORS SRVIVES AUTO</t>
  </si>
  <si>
    <t>STE MDIALE PCE AUTOMOBILES</t>
  </si>
  <si>
    <t>LAHMAR KAIES</t>
  </si>
  <si>
    <t>3R18367</t>
  </si>
  <si>
    <t>4R12252</t>
  </si>
  <si>
    <t>STE DITRI-FILTRE</t>
  </si>
  <si>
    <t>4R12262</t>
  </si>
  <si>
    <t>STE CIPA</t>
  </si>
  <si>
    <t>MOUHAMED GDEMME</t>
  </si>
  <si>
    <t>MOURAD BEN GACEM NALOUTI</t>
  </si>
  <si>
    <t>8R09023</t>
  </si>
  <si>
    <t>SOUADI ABDELKADER</t>
  </si>
  <si>
    <t>8R10059</t>
  </si>
  <si>
    <t>1r03074</t>
  </si>
  <si>
    <t>1R05171</t>
  </si>
  <si>
    <t>STE GHAMMAM ET CIE</t>
  </si>
  <si>
    <t>4R12231</t>
  </si>
  <si>
    <t>PROCAR TUNISIE</t>
  </si>
  <si>
    <t>COMPTOIR ABDENNADHER</t>
  </si>
  <si>
    <t>3R18264</t>
  </si>
  <si>
    <t>GUIDARA ABDALLAH</t>
  </si>
  <si>
    <t>3R18410</t>
  </si>
  <si>
    <t>SOCIETE C P R A</t>
  </si>
  <si>
    <t>BOUCHADDAKH KHALED</t>
  </si>
  <si>
    <t>STE COMPT EQUIP AUTOS</t>
  </si>
  <si>
    <t>3R18406</t>
  </si>
  <si>
    <t>SOSAPIA</t>
  </si>
  <si>
    <t>BEN ALI HAFEDH</t>
  </si>
  <si>
    <t>GUIZANI FETHI</t>
  </si>
  <si>
    <t>7R19061</t>
  </si>
  <si>
    <t>STE GENERALE AUTO DU SUD</t>
  </si>
  <si>
    <t>ALI YAHYAOUI</t>
  </si>
  <si>
    <t>STE UNIVSEL AUTOMOTIVES PART</t>
  </si>
  <si>
    <t>1r02264</t>
  </si>
  <si>
    <t>AOUINI SAFOUANE</t>
  </si>
  <si>
    <t>GARA NABIL BEN BECHIR</t>
  </si>
  <si>
    <t>1r04141</t>
  </si>
  <si>
    <t>STE FOURAT DE PIECES AUTO</t>
  </si>
  <si>
    <t>STE HAMI AUTO</t>
  </si>
  <si>
    <t>SOCIETE RECTIF</t>
  </si>
  <si>
    <t>STE COMPTOIR NORD DE PIECES</t>
  </si>
  <si>
    <t>BT SERVICES SURAL</t>
  </si>
  <si>
    <t>1R07047</t>
  </si>
  <si>
    <t>7R08001</t>
  </si>
  <si>
    <t>NABIL B AHMED B SALAH SMAII</t>
  </si>
  <si>
    <t>EZZEDDINE LETIFI</t>
  </si>
  <si>
    <t>7R17011</t>
  </si>
  <si>
    <t>MOHAMED NACEUR ABDELLI</t>
  </si>
  <si>
    <t>SALIM AUTOS</t>
  </si>
  <si>
    <t>STE TOUNSI PIECES AUTO</t>
  </si>
  <si>
    <t>BEDOUI MANEL BT ALI</t>
  </si>
  <si>
    <t>3R18412</t>
  </si>
  <si>
    <t>STE REKIK AUTOS</t>
  </si>
  <si>
    <t>6R21074</t>
  </si>
  <si>
    <t>MONCEF ZARRAGA</t>
  </si>
  <si>
    <t>STE AYARI AUTOS &amp; CIE</t>
  </si>
  <si>
    <t>1R02280</t>
  </si>
  <si>
    <t>MOHSEN ZARAGA</t>
  </si>
  <si>
    <t>1r06160</t>
  </si>
  <si>
    <t>6R23153</t>
  </si>
  <si>
    <t>Echéance</t>
  </si>
  <si>
    <t>3R18068</t>
  </si>
  <si>
    <t>MOHAMED GHARIANI</t>
  </si>
  <si>
    <t>1R04037</t>
  </si>
  <si>
    <t>SOCIETE ZAGHLA FRERES</t>
  </si>
  <si>
    <t>1R03141</t>
  </si>
  <si>
    <t>BEN ALI HAMDI</t>
  </si>
  <si>
    <t>DIVERS ET IMPREVUE</t>
  </si>
  <si>
    <t>HB FULLER</t>
  </si>
  <si>
    <t>6R23159</t>
  </si>
  <si>
    <t>HADDAD MAKHLOUF</t>
  </si>
  <si>
    <t>7R20003</t>
  </si>
  <si>
    <t>TRABELSI JAMEL</t>
  </si>
  <si>
    <t>6R21162</t>
  </si>
  <si>
    <t>1R05217</t>
  </si>
  <si>
    <t>FN180035</t>
  </si>
  <si>
    <t>RACHED BEN BRAHIM MAMMACHA</t>
  </si>
  <si>
    <t>STE LA RECHANGE AUTOMOBILE</t>
  </si>
  <si>
    <t>EL HORRY FARES PAWER AUTO</t>
  </si>
  <si>
    <t>NAJET BENT SALAH ZAMELI</t>
  </si>
  <si>
    <t>8R09006</t>
  </si>
  <si>
    <t>GHARBI JALEL BEN BRAHIM</t>
  </si>
  <si>
    <t>TYPE</t>
  </si>
  <si>
    <t>DESIGN</t>
  </si>
  <si>
    <t>OP N°</t>
  </si>
  <si>
    <t>DATE-OP</t>
  </si>
  <si>
    <t>DATE-RECU</t>
  </si>
  <si>
    <t>MT OUV</t>
  </si>
  <si>
    <t>REG</t>
  </si>
  <si>
    <t>MT</t>
  </si>
  <si>
    <t>N° CHQ</t>
  </si>
  <si>
    <t>STATUT</t>
  </si>
  <si>
    <t>CH</t>
  </si>
  <si>
    <t>TR</t>
  </si>
  <si>
    <t>CHIMEX</t>
  </si>
  <si>
    <t>GENERAL INCENDIE</t>
  </si>
  <si>
    <t>SALAIRE</t>
  </si>
  <si>
    <t>GENERALE CHIMIE</t>
  </si>
  <si>
    <t>LYS IMPRESSION</t>
  </si>
  <si>
    <t>ISST</t>
  </si>
  <si>
    <t>00012526</t>
  </si>
  <si>
    <t>0003890</t>
  </si>
  <si>
    <t>00012668</t>
  </si>
  <si>
    <t>0004009</t>
  </si>
  <si>
    <t>MAISON DE LA BALANCE</t>
  </si>
  <si>
    <t>00012911</t>
  </si>
  <si>
    <t>0004223</t>
  </si>
  <si>
    <t>TOTAL 90 JOURS</t>
  </si>
  <si>
    <t>TOTAL &gt; 90 JOURS</t>
  </si>
  <si>
    <t>Cheque PF</t>
  </si>
  <si>
    <t>Cheque V</t>
  </si>
  <si>
    <t>STE TAHRI STATION SERVICES</t>
  </si>
  <si>
    <t>STE MBS SERVICES</t>
  </si>
  <si>
    <t>1r05196</t>
  </si>
  <si>
    <t>4R12214</t>
  </si>
  <si>
    <t>4R13134</t>
  </si>
  <si>
    <t>SOZEM</t>
  </si>
  <si>
    <t>3R18354</t>
  </si>
  <si>
    <t>FN180040</t>
  </si>
  <si>
    <t>ORIGINAL COTE IVOIRE</t>
  </si>
  <si>
    <t>DARAMIC</t>
  </si>
  <si>
    <t>COTE D'IVOIRE</t>
  </si>
  <si>
    <t>STE MEMMI-AUTO ET COMPAGNIES</t>
  </si>
  <si>
    <t>LIMEME FATHI BEN KHLIFA</t>
  </si>
  <si>
    <t>STE COMPTOIR PCES RCHGS+ELEC</t>
  </si>
  <si>
    <t>FN180044</t>
  </si>
  <si>
    <t>FN180045</t>
  </si>
  <si>
    <t>JILANI BEN AHMED CHNINA</t>
  </si>
  <si>
    <t>6R24016</t>
  </si>
  <si>
    <t>3R18047</t>
  </si>
  <si>
    <t>1R02257</t>
  </si>
  <si>
    <t>ESSKANDER SLIMAN</t>
  </si>
  <si>
    <t>FAKHREDDINE SAKYES</t>
  </si>
  <si>
    <t>1R02237</t>
  </si>
  <si>
    <t>S M E A</t>
  </si>
  <si>
    <t>3R18160</t>
  </si>
  <si>
    <t>4R14050</t>
  </si>
  <si>
    <t>1R02277</t>
  </si>
  <si>
    <t>C C A</t>
  </si>
  <si>
    <t>CREDIT DE GESTION</t>
  </si>
  <si>
    <t>HT</t>
  </si>
  <si>
    <t>TVA</t>
  </si>
  <si>
    <t>TTC</t>
  </si>
  <si>
    <t>QTTE</t>
  </si>
  <si>
    <t>7R16055</t>
  </si>
  <si>
    <t>STE ELAMAL PIECS AUTOMOBILES</t>
  </si>
  <si>
    <t>SOTRAM</t>
  </si>
  <si>
    <t>FINANCES</t>
  </si>
  <si>
    <t>FN180051</t>
  </si>
  <si>
    <t>BATTERIE USAGE</t>
  </si>
  <si>
    <t>FN180046</t>
  </si>
  <si>
    <t>FN180052</t>
  </si>
  <si>
    <t>STE HAMZI COMMERCE GENERALE</t>
  </si>
  <si>
    <t>STE DISTRIBUTION PIECES AUTO</t>
  </si>
  <si>
    <t>STE COGEP AUTO</t>
  </si>
  <si>
    <t>3R18039</t>
  </si>
  <si>
    <t>3R15039</t>
  </si>
  <si>
    <t>HOUCINE LOUSSAIEF</t>
  </si>
  <si>
    <t>8R08023</t>
  </si>
  <si>
    <t>ETAIN</t>
  </si>
  <si>
    <t>HICHEM BEN IBRAHIM RAHALI</t>
  </si>
  <si>
    <t>8R08042</t>
  </si>
  <si>
    <t>1R02247</t>
  </si>
  <si>
    <t>AMINE BEN FREDJ MAHMOUD</t>
  </si>
  <si>
    <t>1R02176</t>
  </si>
  <si>
    <t>KAIS</t>
  </si>
  <si>
    <t>CRASSE</t>
  </si>
  <si>
    <t>S P I R</t>
  </si>
  <si>
    <t>3R18411</t>
  </si>
  <si>
    <t>1R02225</t>
  </si>
  <si>
    <t>6R21169</t>
  </si>
  <si>
    <t>STE YOSR DE PIECES AUTOS</t>
  </si>
  <si>
    <t>N B I</t>
  </si>
  <si>
    <t>ARTICLE</t>
  </si>
  <si>
    <t>POIDS</t>
  </si>
  <si>
    <t>PU</t>
  </si>
  <si>
    <t>TOTAL HT</t>
  </si>
  <si>
    <t>TOTAL TTC</t>
  </si>
  <si>
    <t>DECHET PLAQUE</t>
  </si>
  <si>
    <t>STE REGUIGUI PNEUMATIQUE</t>
  </si>
  <si>
    <t>ALIBI YASSMINA BENT FARHAT</t>
  </si>
  <si>
    <t>7R17057</t>
  </si>
  <si>
    <t>HELA FERJANI NEE AJMI</t>
  </si>
  <si>
    <t>FN180056</t>
  </si>
  <si>
    <t>FN180057</t>
  </si>
  <si>
    <t>1R02285</t>
  </si>
  <si>
    <t>6R21175</t>
  </si>
  <si>
    <t>1R02199</t>
  </si>
  <si>
    <t>FATHI NAJJAR</t>
  </si>
  <si>
    <t>KHROUF BAGHDADI B BOULBABA</t>
  </si>
  <si>
    <t>00013563</t>
  </si>
  <si>
    <t>0004780</t>
  </si>
  <si>
    <t>IDEAL DECOR</t>
  </si>
  <si>
    <t>HEMPE COS</t>
  </si>
  <si>
    <t>4R12240</t>
  </si>
  <si>
    <t>ECHEANCIER 2019</t>
  </si>
  <si>
    <t>FN190003</t>
  </si>
  <si>
    <t>FN190002</t>
  </si>
  <si>
    <t>SMITEC</t>
  </si>
  <si>
    <t>8R11098</t>
  </si>
  <si>
    <t>6R23162</t>
  </si>
  <si>
    <t>STE FRERES NALOUTI</t>
  </si>
  <si>
    <t>1r02245</t>
  </si>
  <si>
    <t>COTE IVOIRE</t>
  </si>
  <si>
    <t>SITUATION SOTRAM 06/02/2019</t>
  </si>
  <si>
    <t>SITUATION HAZEM 06/02/2019</t>
  </si>
  <si>
    <t>SITUATION KAIS 06/02/2019</t>
  </si>
  <si>
    <t>DECHT PLAQUES</t>
  </si>
  <si>
    <t>1R06160</t>
  </si>
  <si>
    <t>DATE</t>
  </si>
  <si>
    <t>TOTA HT</t>
  </si>
  <si>
    <t>AIR LIQUIDE TUNISIE</t>
  </si>
  <si>
    <t>SITUATION KAMMOUN 06/02/2019</t>
  </si>
  <si>
    <t>1R02235</t>
  </si>
  <si>
    <t>STE BOUKHZAR SARL</t>
  </si>
  <si>
    <t>HADHRI MOUHED BEN HAMOUDA</t>
  </si>
  <si>
    <t>3R18036</t>
  </si>
  <si>
    <t>SITUATION HAZEM 2019</t>
  </si>
  <si>
    <t>SIA Italie</t>
  </si>
  <si>
    <t>EX190001</t>
  </si>
  <si>
    <t>FN190007</t>
  </si>
  <si>
    <t>FN190006</t>
  </si>
  <si>
    <t>1R02270</t>
  </si>
  <si>
    <t>MONGI BEN BRAHIM</t>
  </si>
  <si>
    <t>1R05040</t>
  </si>
  <si>
    <t>SITUATION KAMMOUN 2019</t>
  </si>
  <si>
    <t>RELIQUAT 2018</t>
  </si>
  <si>
    <t>STE AUTO PLUS</t>
  </si>
  <si>
    <t>3R18420</t>
  </si>
  <si>
    <t>STE GOMRI FRERES DE PIECES</t>
  </si>
  <si>
    <t>3R15036</t>
  </si>
  <si>
    <t>STE GLOBALE ABTTERIES DAOUDI</t>
  </si>
  <si>
    <t>1R02243</t>
  </si>
  <si>
    <t>GENERALE ELECT.AUTOMOBILE</t>
  </si>
  <si>
    <t>STE B.ABDESSALEM PIECES AUTO</t>
  </si>
  <si>
    <t>STE EL HAMDI PIECES.RECHANGE</t>
  </si>
  <si>
    <t>1R05173</t>
  </si>
  <si>
    <t>COMPTOIR AUTO.SVCES RAPIDES</t>
  </si>
  <si>
    <t>STE EQUIP.INDUSTRIEL &amp; MARIT</t>
  </si>
  <si>
    <t>STATION LAVAGE MONGI B.HSAN</t>
  </si>
  <si>
    <t>STE PIECES.RECH.FRANCAISE</t>
  </si>
  <si>
    <t>STE. COMMERCIALE DES PIECES</t>
  </si>
  <si>
    <t>STE AL BARAKA EQUIP.GENERALE</t>
  </si>
  <si>
    <t>STE DES EQUIP.INDUST.&amp;TRANSP</t>
  </si>
  <si>
    <t>SO.CO.PI</t>
  </si>
  <si>
    <t>STE MECHERGUI EZZEDINE P.AUT</t>
  </si>
  <si>
    <t>STE JEBALI AGRICOLE</t>
  </si>
  <si>
    <t>STE RANEN.PIECES DE RECHANGE</t>
  </si>
  <si>
    <t>STE HAJ TAIEB PIECES.RECHANG</t>
  </si>
  <si>
    <t>OUERFELLI IMEDEDDINE B.SALAH</t>
  </si>
  <si>
    <t>FN190017</t>
  </si>
  <si>
    <t>FN190014</t>
  </si>
  <si>
    <t>SITUATION NOUR 2019</t>
  </si>
  <si>
    <t>Solde au 31/12/2019</t>
  </si>
  <si>
    <t>Total 04/2019</t>
  </si>
  <si>
    <t>Total 03/2019</t>
  </si>
  <si>
    <t>Total 01/2019</t>
  </si>
  <si>
    <t>Total 06/2019</t>
  </si>
  <si>
    <t>Total 07/2019</t>
  </si>
  <si>
    <t>Total 09/2019</t>
  </si>
  <si>
    <t>Total 10/2019</t>
  </si>
  <si>
    <t>Total 12/2019</t>
  </si>
  <si>
    <t>TOTAL 2019</t>
  </si>
  <si>
    <t>AGIOS</t>
  </si>
  <si>
    <t>1R02193</t>
  </si>
  <si>
    <t>1r02199</t>
  </si>
  <si>
    <t>1R03147</t>
  </si>
  <si>
    <t>STE CHAABANI AUTOS "S-C-A"</t>
  </si>
  <si>
    <t>MAISON ROULT &amp; PNEU.</t>
  </si>
  <si>
    <t>COMPTOIR HAMMAMI</t>
  </si>
  <si>
    <t>FN190019</t>
  </si>
  <si>
    <t>FN190001</t>
  </si>
  <si>
    <t>FN190015</t>
  </si>
  <si>
    <t>FN190020</t>
  </si>
  <si>
    <t>EN SIGNATURE</t>
  </si>
  <si>
    <t>EX190002</t>
  </si>
  <si>
    <t xml:space="preserve">ETAIN </t>
  </si>
  <si>
    <t>MERIEM ABDELKADER</t>
  </si>
  <si>
    <t>STE GENERALE AGRICOLE</t>
  </si>
  <si>
    <t>7R16078</t>
  </si>
  <si>
    <t>BEN SALEM MALIKA</t>
  </si>
  <si>
    <t>STE GENERALE EQUIP.MARITIME</t>
  </si>
  <si>
    <t>4R13132</t>
  </si>
  <si>
    <t>NABIHA REZGUI BEN HABIB</t>
  </si>
  <si>
    <t>8R09079</t>
  </si>
  <si>
    <t>STE GHAMMOUR ENAKHIL</t>
  </si>
  <si>
    <t>8R11061</t>
  </si>
  <si>
    <t>1R12001</t>
  </si>
  <si>
    <t>1R01551</t>
  </si>
  <si>
    <t>1R04141</t>
  </si>
  <si>
    <t>1R01161</t>
  </si>
  <si>
    <t>6R23118</t>
  </si>
  <si>
    <t>STE CO P E M</t>
  </si>
  <si>
    <t>3R18419</t>
  </si>
  <si>
    <t>1R04147</t>
  </si>
  <si>
    <t>FN190024</t>
  </si>
  <si>
    <t>FN190025</t>
  </si>
  <si>
    <t>EX190003</t>
  </si>
  <si>
    <t>6R23151</t>
  </si>
  <si>
    <t>SOCIETE CHAIBI DE CARBURANT</t>
  </si>
  <si>
    <t>1R05103</t>
  </si>
  <si>
    <t>STE GLES PIECES AUTOMOBILES</t>
  </si>
  <si>
    <t>SOFIENE B RHOUMA "CAP AUTO"</t>
  </si>
  <si>
    <t>1R05194</t>
  </si>
  <si>
    <t>1R02245</t>
  </si>
  <si>
    <t>1r02141</t>
  </si>
  <si>
    <t>SOTRAPRO</t>
  </si>
  <si>
    <t>1R01445</t>
  </si>
  <si>
    <t>1R05195</t>
  </si>
  <si>
    <t>1R02231</t>
  </si>
  <si>
    <t>RIDHA BEN ALI MENSI</t>
  </si>
  <si>
    <t>8R08026</t>
  </si>
  <si>
    <t>MOHAMED BEN MOHAMED KAYEL</t>
  </si>
  <si>
    <t>6R21038</t>
  </si>
  <si>
    <t>RFT</t>
  </si>
  <si>
    <t>1R05188</t>
  </si>
  <si>
    <t>STE MATEUR QUINC [SOGEMAQ]</t>
  </si>
  <si>
    <t>EX190004</t>
  </si>
  <si>
    <t>FN190028</t>
  </si>
  <si>
    <t>FN190029</t>
  </si>
  <si>
    <t>1r02176</t>
  </si>
  <si>
    <t>1R04105</t>
  </si>
  <si>
    <t>3R18408</t>
  </si>
  <si>
    <t>1R04146</t>
  </si>
  <si>
    <t>STE MEDHIOUB PIECES AUTOS</t>
  </si>
  <si>
    <t>3R18321</t>
  </si>
  <si>
    <t>BAAZAOUI SALAH</t>
  </si>
  <si>
    <t>3R14079</t>
  </si>
  <si>
    <t>M P R- ESSID LASSAAD</t>
  </si>
  <si>
    <t>STE GLE DE FOURNITURE</t>
  </si>
  <si>
    <t>4R12263</t>
  </si>
  <si>
    <t>HAKIM BEN SADOK KHEMIS</t>
  </si>
  <si>
    <t>4R12227</t>
  </si>
  <si>
    <t>ZIED BEN ALI MABROUKI</t>
  </si>
  <si>
    <t>8R06003</t>
  </si>
  <si>
    <t>RESTE</t>
  </si>
  <si>
    <t>1R02083</t>
  </si>
  <si>
    <t>DECHET PLAQUES</t>
  </si>
  <si>
    <t>NABLI AUTO</t>
  </si>
  <si>
    <t>1R01550</t>
  </si>
  <si>
    <t>8R06002</t>
  </si>
  <si>
    <t>S.G.P</t>
  </si>
  <si>
    <t>FN190037</t>
  </si>
  <si>
    <t>FN190038</t>
  </si>
  <si>
    <t>FN190041</t>
  </si>
  <si>
    <t>1r06141</t>
  </si>
  <si>
    <t>AMENI DES PIECES DETACHEES</t>
  </si>
  <si>
    <t>3R18368</t>
  </si>
  <si>
    <t>SKANDER MABROUK</t>
  </si>
  <si>
    <t>4R12196</t>
  </si>
  <si>
    <t>STE AFRICA DES PIECES AUTOS</t>
  </si>
  <si>
    <t>STE CHERIF ELECTRICITE AUTO</t>
  </si>
  <si>
    <t>1R05206</t>
  </si>
  <si>
    <t>ABDELMAJID BEN HASSEN AMIRI</t>
  </si>
  <si>
    <t>STE FREE RENT A CAR</t>
  </si>
  <si>
    <t>STE ASIE AUTOMOBILE SERVICES</t>
  </si>
  <si>
    <t>OUERGHI MOUNIR B ABDELMAJID</t>
  </si>
  <si>
    <t>FN190043</t>
  </si>
  <si>
    <t>1R01556</t>
  </si>
  <si>
    <t>1r01518</t>
  </si>
  <si>
    <t>6R23165</t>
  </si>
  <si>
    <t>1r09019</t>
  </si>
  <si>
    <t>STE KRIAA GENERALE PIECES</t>
  </si>
  <si>
    <t>1r06161</t>
  </si>
  <si>
    <t>4R13137</t>
  </si>
  <si>
    <t>7R16012</t>
  </si>
  <si>
    <t>1R05191</t>
  </si>
  <si>
    <t>ETABLISSEMENT HABIB BEN NASR</t>
  </si>
  <si>
    <t>EQUIP. AUTOS MOKNINE</t>
  </si>
  <si>
    <t>4R13048</t>
  </si>
  <si>
    <t>1r04121</t>
  </si>
  <si>
    <t>1r02150</t>
  </si>
  <si>
    <t>NASRALLAH BELGACEM B.HOUCH</t>
  </si>
  <si>
    <t>1r01456</t>
  </si>
  <si>
    <t>STE CENTRE NAOUALI SERVICES</t>
  </si>
  <si>
    <t>HASSEN BEN BELGACEM  DABBABI</t>
  </si>
  <si>
    <t>DECHET K T</t>
  </si>
  <si>
    <t>SITUATION SOTRAM SNA  2019</t>
  </si>
  <si>
    <t>SITUATION SOTRAM STA 2019</t>
  </si>
  <si>
    <t>FN190050</t>
  </si>
  <si>
    <t>FN190051</t>
  </si>
  <si>
    <t>SIA ITALY</t>
  </si>
  <si>
    <t>6R23146</t>
  </si>
  <si>
    <t>SOCIETE DRIDI AUTO (SDA)</t>
  </si>
  <si>
    <t>1r02174</t>
  </si>
  <si>
    <t>STE DISTR.PICES DE RECHANGE</t>
  </si>
  <si>
    <t>1R03164</t>
  </si>
  <si>
    <t>CHERIF MOHAMED</t>
  </si>
  <si>
    <t>STE CYRINE DRIME CAR</t>
  </si>
  <si>
    <t>FN190052</t>
  </si>
  <si>
    <t>FN190053</t>
  </si>
  <si>
    <t>HAZEM</t>
  </si>
  <si>
    <t>KAMMOUN</t>
  </si>
  <si>
    <t>STA NOUR</t>
  </si>
  <si>
    <t>1R01567</t>
  </si>
  <si>
    <t>4R12212</t>
  </si>
  <si>
    <t>GROCOMA</t>
  </si>
  <si>
    <t>FN190054</t>
  </si>
  <si>
    <t>FN190055</t>
  </si>
  <si>
    <t>1r02282</t>
  </si>
  <si>
    <t>COMPTOIR DOUICK DE PIECES</t>
  </si>
  <si>
    <t>3R18336</t>
  </si>
  <si>
    <t>1r02287</t>
  </si>
  <si>
    <t>1r01573</t>
  </si>
  <si>
    <t>AVEA MAGHREB</t>
  </si>
  <si>
    <t>STE OCTOBUS</t>
  </si>
  <si>
    <t>TOTAL 12/2019</t>
  </si>
  <si>
    <t>TOTAL 01/2020</t>
  </si>
  <si>
    <t>SITUATION NOUR (KAIS) 2019</t>
  </si>
  <si>
    <t>GRAJA NIZAR "GENERAL AUTO"</t>
  </si>
  <si>
    <t>STE PIECES AUTOS JAPONAISES</t>
  </si>
  <si>
    <t>1r03124</t>
  </si>
  <si>
    <t>M'ZOUGHI HASSEN</t>
  </si>
  <si>
    <t>1r01010</t>
  </si>
  <si>
    <t>1r01386</t>
  </si>
  <si>
    <t>1r01470</t>
  </si>
  <si>
    <t>MHAMDI ELBAHI BEN TAHAR</t>
  </si>
  <si>
    <t>7R17060</t>
  </si>
  <si>
    <t>MISSAOUI RIHEB BENT ARBI</t>
  </si>
  <si>
    <t>7R17059</t>
  </si>
  <si>
    <t>STE NEFZAWA EQUIPS GENERALE</t>
  </si>
  <si>
    <t>7R22044</t>
  </si>
  <si>
    <t>MEJDI NAJET BENT IBRAHIM</t>
  </si>
  <si>
    <t>7R19070</t>
  </si>
  <si>
    <t>STE YASSINE PETROLIUM</t>
  </si>
  <si>
    <t>4R15035</t>
  </si>
  <si>
    <t>HATEM BEN SALAH KRAIEM</t>
  </si>
  <si>
    <t>4R12113</t>
  </si>
  <si>
    <t>1r04150</t>
  </si>
  <si>
    <t>COMPAGNIE TNNE DE REPRESENT.</t>
  </si>
  <si>
    <t>1R03030</t>
  </si>
  <si>
    <t>situation SOTRAM</t>
  </si>
  <si>
    <t>Batterie</t>
  </si>
  <si>
    <t>RS</t>
  </si>
  <si>
    <t>MONTANT RECU PAR SOTRM</t>
  </si>
  <si>
    <t>FODEC</t>
  </si>
  <si>
    <t>Remboursement</t>
  </si>
  <si>
    <t>SOLDE</t>
  </si>
  <si>
    <t>FN190061</t>
  </si>
  <si>
    <t>FN190059</t>
  </si>
  <si>
    <t>FN190060</t>
  </si>
  <si>
    <t>RECU</t>
  </si>
  <si>
    <t>CHIBANI BEN SALEM TAYEB</t>
  </si>
  <si>
    <t>KHELIFA BEN TAIEB</t>
  </si>
  <si>
    <t>6R21055</t>
  </si>
  <si>
    <t>1R05196</t>
  </si>
  <si>
    <t>1r02232</t>
  </si>
  <si>
    <t>1r04098</t>
  </si>
  <si>
    <t>1r05034</t>
  </si>
  <si>
    <t>1r05210</t>
  </si>
  <si>
    <t>1r05186</t>
  </si>
  <si>
    <t>1r05042</t>
  </si>
  <si>
    <t>1r02231</t>
  </si>
  <si>
    <t>1r02225</t>
  </si>
  <si>
    <t>1r05166</t>
  </si>
  <si>
    <t>FN190062</t>
  </si>
  <si>
    <t>FP190065</t>
  </si>
  <si>
    <t>FN190067</t>
  </si>
  <si>
    <t>8r09006</t>
  </si>
  <si>
    <t>1r03169</t>
  </si>
  <si>
    <t>STE BOUKHRIS PICES.RECHANGES</t>
  </si>
  <si>
    <t>4R14075</t>
  </si>
  <si>
    <t>1r02148</t>
  </si>
  <si>
    <t>1r02138</t>
  </si>
  <si>
    <t>STE BEN BRAHIM  " SBB "</t>
  </si>
  <si>
    <t>8R11093</t>
  </si>
  <si>
    <t>BECHIR BOUCEDRA</t>
  </si>
  <si>
    <t>1r02049</t>
  </si>
  <si>
    <t>TOTAL 02/2020</t>
  </si>
  <si>
    <t>3R18423</t>
  </si>
  <si>
    <t>1r03173</t>
  </si>
  <si>
    <t>1r01495</t>
  </si>
  <si>
    <t>8R10038</t>
  </si>
  <si>
    <t>6R24006</t>
  </si>
  <si>
    <t>6R21187</t>
  </si>
  <si>
    <t>ELECTRO-AUTO</t>
  </si>
  <si>
    <t>3R18046</t>
  </si>
  <si>
    <t>TOTAL 03/2020</t>
  </si>
  <si>
    <t>SITUATION SOTRAM FONDERIE 2019</t>
  </si>
  <si>
    <t>TVA A REMBOURSER</t>
  </si>
  <si>
    <t>FODEC A REMBOURSER</t>
  </si>
  <si>
    <t>MONTANT RECU</t>
  </si>
  <si>
    <t>RS A REMBOURSER</t>
  </si>
  <si>
    <t>STA Nour</t>
  </si>
  <si>
    <t>Déchet plaques batteries</t>
  </si>
  <si>
    <t>AKUMSAN</t>
  </si>
  <si>
    <t>FN190068</t>
  </si>
  <si>
    <t>FN190070</t>
  </si>
  <si>
    <t>ACCUMA 16</t>
  </si>
  <si>
    <t>NAWFIL</t>
  </si>
  <si>
    <t>TRANSPORT KAIS TAYACHI</t>
  </si>
  <si>
    <t>INOX</t>
  </si>
  <si>
    <t>TOTAL INOX</t>
  </si>
  <si>
    <t>FN190071</t>
  </si>
  <si>
    <t>1r01551</t>
  </si>
  <si>
    <t>1r05071</t>
  </si>
  <si>
    <t>NEJIB GADHOUM</t>
  </si>
  <si>
    <t>4R12181</t>
  </si>
  <si>
    <t>1r02280</t>
  </si>
  <si>
    <t>1r01473</t>
  </si>
  <si>
    <t>1r04105</t>
  </si>
  <si>
    <t>1r06146</t>
  </si>
  <si>
    <t>6r23165</t>
  </si>
  <si>
    <t>1r02257</t>
  </si>
  <si>
    <t>1r01564</t>
  </si>
  <si>
    <t>MEJRI DE PNEUMATIQUE "SMP"</t>
  </si>
  <si>
    <t>1R04144</t>
  </si>
  <si>
    <t>STE ALHADITHA DE PIECES AUTO</t>
  </si>
  <si>
    <t>1r01584</t>
  </si>
  <si>
    <t>ESSAFI AUTO</t>
  </si>
  <si>
    <t>1R03176</t>
  </si>
  <si>
    <t>1R01573</t>
  </si>
  <si>
    <t>1r02270</t>
  </si>
  <si>
    <t>1R05181</t>
  </si>
  <si>
    <t>8R10053</t>
  </si>
  <si>
    <t>1r05209</t>
  </si>
  <si>
    <t>1r05184</t>
  </si>
  <si>
    <t>STE MECHERGUI D'EQUIP. AUTOS</t>
  </si>
  <si>
    <t>STE ESPACE.ARTS.DECOR.FER</t>
  </si>
  <si>
    <t>1R01562</t>
  </si>
  <si>
    <t>1R01050</t>
  </si>
  <si>
    <t>ACCESSOIRES INDST.AUTOMOBILE</t>
  </si>
  <si>
    <t>STE  BEN TALEB PIECES AUTOS</t>
  </si>
  <si>
    <t>STE ALLO MECANO</t>
  </si>
  <si>
    <t>HAMZA BALBALI</t>
  </si>
  <si>
    <t>6R23144</t>
  </si>
  <si>
    <t>EL HICHRI HOUSSEM BEN MED</t>
  </si>
  <si>
    <t>1r03167</t>
  </si>
  <si>
    <t>NAILA BEN AHMED JEMAI</t>
  </si>
  <si>
    <t>ACCUMA 18</t>
  </si>
  <si>
    <t>FN190069</t>
  </si>
  <si>
    <t>00013811</t>
  </si>
  <si>
    <t>TR01232</t>
  </si>
  <si>
    <t>1r05195</t>
  </si>
  <si>
    <t>1r05173</t>
  </si>
  <si>
    <t>HAMIDA SHILI</t>
  </si>
  <si>
    <t>4R14039</t>
  </si>
  <si>
    <t>6r23153</t>
  </si>
  <si>
    <t>STE KZ PIECES AUTOS</t>
  </si>
  <si>
    <t>3R18382</t>
  </si>
  <si>
    <t>STE AUTO PRO</t>
  </si>
  <si>
    <t>4R15046</t>
  </si>
  <si>
    <t>1r07041</t>
  </si>
  <si>
    <t>1r02277</t>
  </si>
  <si>
    <t>1r09022</t>
  </si>
  <si>
    <t>1R06125</t>
  </si>
  <si>
    <t>1r02285</t>
  </si>
  <si>
    <t>1r05194</t>
  </si>
  <si>
    <t>1R03100</t>
  </si>
  <si>
    <t>1R01511</t>
  </si>
  <si>
    <t>ZIED ABDELMALEK</t>
  </si>
  <si>
    <t>4R13135</t>
  </si>
  <si>
    <t>STE.MAGHR. DE PIECES DE RECH</t>
  </si>
  <si>
    <t>4R12104</t>
  </si>
  <si>
    <t>1r04120</t>
  </si>
  <si>
    <t>6R21155</t>
  </si>
  <si>
    <t>STE M&amp;M EQUIPEMENTS DE PECHE</t>
  </si>
  <si>
    <t>3R15037</t>
  </si>
  <si>
    <t>STE SARRA AUTO</t>
  </si>
  <si>
    <t>4R13125</t>
  </si>
  <si>
    <t>STE.DES PIECES POIDS LOURD</t>
  </si>
  <si>
    <t>3R18077</t>
  </si>
  <si>
    <t>1R04121</t>
  </si>
  <si>
    <t>1R05034</t>
  </si>
  <si>
    <t>1r03149</t>
  </si>
  <si>
    <t>1r01562</t>
  </si>
  <si>
    <t>1R01540</t>
  </si>
  <si>
    <t>MEGUEBLI MED BN MHAMED</t>
  </si>
  <si>
    <t>6R24023</t>
  </si>
  <si>
    <t>1R05200</t>
  </si>
  <si>
    <t>PERSONNEL  NOUR</t>
  </si>
  <si>
    <t>Mahdi GUERMAZI</t>
  </si>
  <si>
    <t>R.FINANCE MEGRINE</t>
  </si>
  <si>
    <t>00000264</t>
  </si>
  <si>
    <t>0000233</t>
  </si>
  <si>
    <t>FN190075</t>
  </si>
  <si>
    <t>FN190076</t>
  </si>
  <si>
    <t>00013847</t>
  </si>
  <si>
    <t>00013846</t>
  </si>
  <si>
    <t>00013845</t>
  </si>
  <si>
    <t>00013844</t>
  </si>
  <si>
    <t>TR01240</t>
  </si>
  <si>
    <t>TR01239</t>
  </si>
  <si>
    <t>TR01238</t>
  </si>
  <si>
    <t>TR01237</t>
  </si>
  <si>
    <t>BSB TOYOTA</t>
  </si>
  <si>
    <t>00001574</t>
  </si>
  <si>
    <t>0000070</t>
  </si>
  <si>
    <t>ACCUMA 19</t>
  </si>
  <si>
    <t>ACCUMA 20</t>
  </si>
  <si>
    <t>ACCUMA 21</t>
  </si>
  <si>
    <t>ACCUMA 22</t>
  </si>
  <si>
    <t>SOVEMA</t>
  </si>
  <si>
    <t xml:space="preserve">TOTAL </t>
  </si>
  <si>
    <t>TOTAL 04/2020</t>
  </si>
  <si>
    <t>STE HAMIDOU D COMMERCE</t>
  </si>
  <si>
    <t>3R15044</t>
  </si>
  <si>
    <t>1r01556</t>
  </si>
  <si>
    <t>1R02287</t>
  </si>
  <si>
    <t>1r02235</t>
  </si>
  <si>
    <t>3r15044</t>
  </si>
  <si>
    <t>3R18353</t>
  </si>
  <si>
    <t>1r02193</t>
  </si>
  <si>
    <t>3r18407</t>
  </si>
  <si>
    <t>3r18354</t>
  </si>
  <si>
    <t>1r02211</t>
  </si>
  <si>
    <t>1r06136</t>
  </si>
  <si>
    <t>6R21181</t>
  </si>
  <si>
    <t>1r01580</t>
  </si>
  <si>
    <t>ESPADON CONCEPT</t>
  </si>
  <si>
    <t>1S05017</t>
  </si>
  <si>
    <t>STE AUTO SERVICE PLUS</t>
  </si>
  <si>
    <t>1r03118</t>
  </si>
  <si>
    <t>STE BEN MARIEM AUTO</t>
  </si>
  <si>
    <t>4R12261</t>
  </si>
  <si>
    <t>ETS. FAIZA GARG. &amp; BOUHAMED</t>
  </si>
  <si>
    <t>3R18141</t>
  </si>
  <si>
    <t>1r01548</t>
  </si>
  <si>
    <t>1r06149</t>
  </si>
  <si>
    <t>1r01492</t>
  </si>
  <si>
    <t>STE SVCES AGRI.PDTS.QUINC</t>
  </si>
  <si>
    <t>1R04151</t>
  </si>
  <si>
    <t>1r03131</t>
  </si>
  <si>
    <t>1R05218</t>
  </si>
  <si>
    <t>1R05175</t>
  </si>
  <si>
    <t>STE KACEM ET FRERES</t>
  </si>
  <si>
    <t>4R13147</t>
  </si>
  <si>
    <t>BEDOUI MONGI BEN SALEM</t>
  </si>
  <si>
    <t>3R15005</t>
  </si>
  <si>
    <t>1p01000</t>
  </si>
  <si>
    <t>SOCIETE ENNAJI</t>
  </si>
  <si>
    <t>AUTO TRADE COMPANY</t>
  </si>
  <si>
    <t>BELGACEM BEN SMIDA</t>
  </si>
  <si>
    <t>7R22003</t>
  </si>
  <si>
    <t>Echeance</t>
  </si>
  <si>
    <t>FIRST AUTOMOTIVE</t>
  </si>
  <si>
    <t>1R03182</t>
  </si>
  <si>
    <t>SITUATION KAIS SNA 2019</t>
  </si>
  <si>
    <t>ERREUR FACTURATION</t>
  </si>
  <si>
    <t>FN190077</t>
  </si>
  <si>
    <t>FN190083</t>
  </si>
  <si>
    <t>6R21027</t>
  </si>
  <si>
    <t>S O G E M</t>
  </si>
  <si>
    <t>3R18263</t>
  </si>
  <si>
    <t>LAJNEF SAMI BEN MOHAMED</t>
  </si>
  <si>
    <t>COMPT.IND.ET FOUR.AUTOS CIFA</t>
  </si>
  <si>
    <t>STE CHIBANI COMMERCE&amp;SERVICE</t>
  </si>
  <si>
    <t>MOHAMMED BEN NOURI MSAKNI</t>
  </si>
  <si>
    <t>7R19018</t>
  </si>
  <si>
    <t>1R01132</t>
  </si>
  <si>
    <t>1r05208</t>
  </si>
  <si>
    <t>1R01217</t>
  </si>
  <si>
    <t>7R19060</t>
  </si>
  <si>
    <t>SOGEMCO</t>
  </si>
  <si>
    <t>1r01479</t>
  </si>
  <si>
    <t>STE TURKI TOUT COMMERCE STTC</t>
  </si>
  <si>
    <t>1r05223</t>
  </si>
  <si>
    <t>BATTERY CENTRE DISTRIBUTION</t>
  </si>
  <si>
    <t>1R04149</t>
  </si>
  <si>
    <t>ACCUMA 23</t>
  </si>
  <si>
    <t>ACCUMA 24</t>
  </si>
  <si>
    <t>00013855</t>
  </si>
  <si>
    <t>TR01241</t>
  </si>
  <si>
    <t xml:space="preserve">DETTES SNA </t>
  </si>
  <si>
    <t>Désignation</t>
  </si>
  <si>
    <t>Crédits MT:STB</t>
  </si>
  <si>
    <t>Leasing SNA</t>
  </si>
  <si>
    <t>Leasing SND</t>
  </si>
  <si>
    <t>Leasing TIP</t>
  </si>
  <si>
    <t>Leasing NBI</t>
  </si>
  <si>
    <t>Crédit de Gestion STB</t>
  </si>
  <si>
    <t>FACILITE DE CAISSE SNA</t>
  </si>
  <si>
    <t>FACILITE DE CAISSE SND</t>
  </si>
  <si>
    <t>TOTAL DETTES NETTES</t>
  </si>
  <si>
    <t>FRs STA</t>
  </si>
  <si>
    <t>frs FH/ NBI</t>
  </si>
  <si>
    <t>Créances/cession MATERIELS (STA)</t>
  </si>
  <si>
    <t xml:space="preserve">CC FHNAYA </t>
  </si>
  <si>
    <t>CC FETHI GHALI</t>
  </si>
  <si>
    <t>ENCOURS ESCOMPTES</t>
  </si>
  <si>
    <t>M C N E</t>
  </si>
  <si>
    <t>FACILITE DE CAISSE TIP</t>
  </si>
  <si>
    <t>FACILITE DE CAISSE NBI</t>
  </si>
  <si>
    <t>LIQUIDITE SNA</t>
  </si>
  <si>
    <t>LIQUIDITE NBI</t>
  </si>
  <si>
    <t>SOLDE 15/11/2019</t>
  </si>
  <si>
    <t>EN COURS VERS</t>
  </si>
  <si>
    <t>AGENCE 11</t>
  </si>
  <si>
    <t>AGENCE 12</t>
  </si>
  <si>
    <t>MEGRINE 11</t>
  </si>
  <si>
    <t>MEGRINE 12</t>
  </si>
  <si>
    <t>VIREMENT</t>
  </si>
  <si>
    <t>ESCOMPTE</t>
  </si>
  <si>
    <t xml:space="preserve">VERSEMENT CHQ </t>
  </si>
  <si>
    <t>SOLDE SND</t>
  </si>
  <si>
    <t>IMPOT 11</t>
  </si>
  <si>
    <t>IMPOT 12</t>
  </si>
  <si>
    <t>DIVERS</t>
  </si>
  <si>
    <t>LEASING</t>
  </si>
  <si>
    <t>TOTAL DEPENSE</t>
  </si>
  <si>
    <t xml:space="preserve">FACILITE </t>
  </si>
  <si>
    <t>STEG</t>
  </si>
  <si>
    <t>NBI</t>
  </si>
  <si>
    <t>F H</t>
  </si>
  <si>
    <t>PAIEMENT FOURNISSEURS</t>
  </si>
  <si>
    <t>ALIM SND</t>
  </si>
  <si>
    <t>FN190084</t>
  </si>
  <si>
    <t>1r01567</t>
  </si>
  <si>
    <t>1R01531</t>
  </si>
  <si>
    <t>1r03152</t>
  </si>
  <si>
    <t>1r04147</t>
  </si>
  <si>
    <t>1r06038</t>
  </si>
  <si>
    <t>YACOUBI BEN MOULDI EL ABED</t>
  </si>
  <si>
    <t>1r05191</t>
  </si>
  <si>
    <t>1R04110</t>
  </si>
  <si>
    <t>1R07002</t>
  </si>
  <si>
    <t>FN190086</t>
  </si>
  <si>
    <t>ACCUMA 25</t>
  </si>
  <si>
    <t>00013874</t>
  </si>
  <si>
    <t>00013873</t>
  </si>
  <si>
    <t>VI</t>
  </si>
  <si>
    <t>TR01243</t>
  </si>
  <si>
    <t>TR01242</t>
  </si>
  <si>
    <t>BOUDRANT</t>
  </si>
  <si>
    <t>00000267</t>
  </si>
  <si>
    <t>VI00013</t>
  </si>
  <si>
    <t>1R02282</t>
  </si>
  <si>
    <t>STE CHENIB DE PIECES AUTOS</t>
  </si>
  <si>
    <t>1R02226</t>
  </si>
  <si>
    <t>1R03169</t>
  </si>
  <si>
    <t>3r18389</t>
  </si>
  <si>
    <t>STE CAR PLUS</t>
  </si>
  <si>
    <t>1r01554</t>
  </si>
  <si>
    <t>1R01518</t>
  </si>
  <si>
    <t>1R01386</t>
  </si>
  <si>
    <t>1R02238</t>
  </si>
  <si>
    <t>1r01550</t>
  </si>
  <si>
    <t>STE FARAH</t>
  </si>
  <si>
    <t>1r01575</t>
  </si>
  <si>
    <t>1R01548</t>
  </si>
  <si>
    <t>1R02232</t>
  </si>
  <si>
    <t>4r12177</t>
  </si>
  <si>
    <t>1r04146</t>
  </si>
  <si>
    <t>1r02237</t>
  </si>
  <si>
    <t>1R01010</t>
  </si>
  <si>
    <t>KHAMIS FAHIM BEN SADOK</t>
  </si>
  <si>
    <t>4R15056</t>
  </si>
  <si>
    <t>1R05184</t>
  </si>
  <si>
    <t>1r04151</t>
  </si>
  <si>
    <t>STE OLYMPIA CAR</t>
  </si>
  <si>
    <t>1r01585</t>
  </si>
  <si>
    <t>STE. MODERNE AUTO</t>
  </si>
  <si>
    <t>1r02031</t>
  </si>
  <si>
    <t>TALBI ALI BEN ABDENNABI</t>
  </si>
  <si>
    <t>4R14076</t>
  </si>
  <si>
    <t>1R01478</t>
  </si>
  <si>
    <t>1R01561</t>
  </si>
  <si>
    <t>1R04098</t>
  </si>
  <si>
    <t>STE FIAT AUTO PIECES [ FAP ]</t>
  </si>
  <si>
    <t>3R18352</t>
  </si>
  <si>
    <t>1R02082</t>
  </si>
  <si>
    <t>1R05199</t>
  </si>
  <si>
    <t>BOUZAYENE AUTO</t>
  </si>
  <si>
    <t>1r04152</t>
  </si>
  <si>
    <t>4r12228</t>
  </si>
  <si>
    <t>1r02278</t>
  </si>
  <si>
    <t>STE     S-G-S-S</t>
  </si>
  <si>
    <t>1r04154</t>
  </si>
  <si>
    <t>SPARE PART DISTRIBUTION</t>
  </si>
  <si>
    <t>3R18399</t>
  </si>
  <si>
    <t>STE BEN HAMOUDA AUTO</t>
  </si>
  <si>
    <t>1r06142</t>
  </si>
  <si>
    <t>1R01564</t>
  </si>
  <si>
    <t>1R01581</t>
  </si>
  <si>
    <t>1R01078</t>
  </si>
  <si>
    <t>1R07058</t>
  </si>
  <si>
    <t>4r12104</t>
  </si>
  <si>
    <t>1R02241</t>
  </si>
  <si>
    <t>JAADI MONCEF</t>
  </si>
  <si>
    <t>4R14029</t>
  </si>
  <si>
    <t>STE ZORGATI VEHICULE</t>
  </si>
  <si>
    <t>4R12211</t>
  </si>
  <si>
    <t>STE HADJ AUTO</t>
  </si>
  <si>
    <t>1R01480</t>
  </si>
  <si>
    <t>MOHAMED BOUAZIZ</t>
  </si>
  <si>
    <t>3R18329</t>
  </si>
  <si>
    <t>SOCIETE     T I P S</t>
  </si>
  <si>
    <t>3R18416</t>
  </si>
  <si>
    <t>KHENFIR MOHAMED LAMJED</t>
  </si>
  <si>
    <t>3R18133</t>
  </si>
  <si>
    <t>RHIM CHEDLY</t>
  </si>
  <si>
    <t>1R05055</t>
  </si>
  <si>
    <t>FERJANI FATHALLAH</t>
  </si>
  <si>
    <t>3R15019</t>
  </si>
  <si>
    <t>HEMP</t>
  </si>
  <si>
    <t>AVANCE RECU</t>
  </si>
  <si>
    <t>STC</t>
  </si>
  <si>
    <t>SPECTRO</t>
  </si>
  <si>
    <t>NON RECU</t>
  </si>
  <si>
    <t>TOTAL charge et finition</t>
  </si>
  <si>
    <t>TOTAL acide</t>
  </si>
  <si>
    <t>TRAITE AVALISE</t>
  </si>
  <si>
    <t>ooredoo</t>
  </si>
  <si>
    <t>00013889</t>
  </si>
  <si>
    <t>00013886</t>
  </si>
  <si>
    <t>0005060</t>
  </si>
  <si>
    <t>TR01244</t>
  </si>
  <si>
    <t>CRISTAL</t>
  </si>
  <si>
    <t>ACCUMA 26</t>
  </si>
  <si>
    <t>STE BEN AMOR AUTO</t>
  </si>
  <si>
    <t>1R02248</t>
  </si>
  <si>
    <t>3r18411</t>
  </si>
  <si>
    <t>1r03176</t>
  </si>
  <si>
    <t>1R02211</t>
  </si>
  <si>
    <t>1R03109</t>
  </si>
  <si>
    <t>1R01520</t>
  </si>
  <si>
    <t>HAMDI NOUREDDINE  "SRB"</t>
  </si>
  <si>
    <t>1r01527</t>
  </si>
  <si>
    <t>STE EL MABROUK</t>
  </si>
  <si>
    <t>1r05198</t>
  </si>
  <si>
    <t>FN190089</t>
  </si>
  <si>
    <t>00013897</t>
  </si>
  <si>
    <t>00013896</t>
  </si>
  <si>
    <t>00013895</t>
  </si>
  <si>
    <t>00013894</t>
  </si>
  <si>
    <t>00013893</t>
  </si>
  <si>
    <t>00013892</t>
  </si>
  <si>
    <t>TR01247</t>
  </si>
  <si>
    <t>0005065</t>
  </si>
  <si>
    <t>TR01246</t>
  </si>
  <si>
    <t>0005064</t>
  </si>
  <si>
    <t>0005063</t>
  </si>
  <si>
    <t>TR01245</t>
  </si>
  <si>
    <t>EL BARAKA VENTE PIECES RECH.</t>
  </si>
  <si>
    <t>4R14047</t>
  </si>
  <si>
    <t>1r06125</t>
  </si>
  <si>
    <t>STE MESTIRI&amp;FILS TRAV.PUBLIC</t>
  </si>
  <si>
    <t>7S19023</t>
  </si>
  <si>
    <t>STE HR COMPANY DE COMMERCE</t>
  </si>
  <si>
    <t>4R13146</t>
  </si>
  <si>
    <t>1r05181</t>
  </si>
  <si>
    <t>1R04138</t>
  </si>
  <si>
    <t>1r05188</t>
  </si>
  <si>
    <t>JOUINI AUTO " J A "</t>
  </si>
  <si>
    <t>1R04156</t>
  </si>
  <si>
    <t>1r01217</t>
  </si>
  <si>
    <t>JIHED AUTO P.RECH &amp; ACCESSRS</t>
  </si>
  <si>
    <t>1R01588</t>
  </si>
  <si>
    <t>STE H B A  AUTO</t>
  </si>
  <si>
    <t>1r05225</t>
  </si>
  <si>
    <t>1r01540</t>
  </si>
  <si>
    <t>1r05040</t>
  </si>
  <si>
    <t>1r02194</t>
  </si>
  <si>
    <t>ABDELKARIM CHEBBI</t>
  </si>
  <si>
    <t>1R04155</t>
  </si>
  <si>
    <t>STE CARTAGE AUTO</t>
  </si>
  <si>
    <t>4R13139</t>
  </si>
  <si>
    <t>1R03167</t>
  </si>
  <si>
    <t>SOCIETE PIECE AUTO ESSAID</t>
  </si>
  <si>
    <t>1r06103</t>
  </si>
  <si>
    <t>1R01554</t>
  </si>
  <si>
    <t>STE CARS PARTS AND SERVICES</t>
  </si>
  <si>
    <t>1R02286</t>
  </si>
  <si>
    <t>SOCIETE SOHAG</t>
  </si>
  <si>
    <t>7S19025</t>
  </si>
  <si>
    <t>KAMMOUN NACEUR</t>
  </si>
  <si>
    <t>3R18418</t>
  </si>
  <si>
    <t>AZOUNA MUSTAPHA</t>
  </si>
  <si>
    <t>1r01112</t>
  </si>
  <si>
    <t>TOTAL 05/2020</t>
  </si>
  <si>
    <t>NEJI KHIAREDDINE</t>
  </si>
  <si>
    <t>4R14034</t>
  </si>
  <si>
    <t>STE ELECTRO-MECANIQUE</t>
  </si>
  <si>
    <t>1R04055</t>
  </si>
  <si>
    <t>HOUCINE B. ABDELHAMID BOUONI</t>
  </si>
  <si>
    <t>7R19069</t>
  </si>
  <si>
    <t>STE MY CAR DISTRIBUTION</t>
  </si>
  <si>
    <t>4R12257</t>
  </si>
  <si>
    <t>SFAX TECH. AUTO-CHARFEDINE</t>
  </si>
  <si>
    <t>3R18042</t>
  </si>
  <si>
    <t>SFAX VEHICULES INDUSTRIELS</t>
  </si>
  <si>
    <t>3R18108</t>
  </si>
  <si>
    <t>S. BADREDDINE CHERIF &amp; CIES</t>
  </si>
  <si>
    <t>3R18097</t>
  </si>
  <si>
    <t>STE M'NEJJA PIECES</t>
  </si>
  <si>
    <t>3R18393</t>
  </si>
  <si>
    <t>HABIB KHECHAREM</t>
  </si>
  <si>
    <t>3R18287</t>
  </si>
  <si>
    <t>STE ABDELKAFI PIECES DE</t>
  </si>
  <si>
    <t>1S04018</t>
  </si>
  <si>
    <t>STE SEGOR</t>
  </si>
  <si>
    <t>1S01227</t>
  </si>
  <si>
    <t>DON</t>
  </si>
  <si>
    <t>CHARGE ET FINITION</t>
  </si>
  <si>
    <t>ACIDE</t>
  </si>
  <si>
    <t>ACCUMA 27</t>
  </si>
  <si>
    <t>ALPHA TRADING</t>
  </si>
  <si>
    <t>S. T. E. G.</t>
  </si>
  <si>
    <t>00013904</t>
  </si>
  <si>
    <t>00013903</t>
  </si>
  <si>
    <t>00013902</t>
  </si>
  <si>
    <t>0005072</t>
  </si>
  <si>
    <t>0005071</t>
  </si>
  <si>
    <t>0005070</t>
  </si>
  <si>
    <t>REVOLON</t>
  </si>
  <si>
    <t>1R05042</t>
  </si>
  <si>
    <t>1r05206</t>
  </si>
  <si>
    <t>1R01575</t>
  </si>
  <si>
    <t>1R01580</t>
  </si>
  <si>
    <t>1R06146</t>
  </si>
  <si>
    <t>6r21145</t>
  </si>
  <si>
    <t>STE.GUEDRI MOHSEN ET FRERES</t>
  </si>
  <si>
    <t>1R07013</t>
  </si>
  <si>
    <t>NAIM BERRICH</t>
  </si>
  <si>
    <t>1R01517</t>
  </si>
  <si>
    <t>SALAH FNAIECH</t>
  </si>
  <si>
    <t>3r15025</t>
  </si>
  <si>
    <t>1r02226</t>
  </si>
  <si>
    <t>STE.CARRIERE B.M'BAREK &amp;CIE</t>
  </si>
  <si>
    <t>1s01117</t>
  </si>
  <si>
    <t>1r05217</t>
  </si>
  <si>
    <t>1r01050</t>
  </si>
  <si>
    <t>1R06149</t>
  </si>
  <si>
    <t>1R05198</t>
  </si>
  <si>
    <t>STE COMP. GENERAL EQUIPEMENT</t>
  </si>
  <si>
    <t>1R05148</t>
  </si>
  <si>
    <t>1r05159</t>
  </si>
  <si>
    <t>SOCIETE AMIN RENT A CAR</t>
  </si>
  <si>
    <t>1R01498</t>
  </si>
  <si>
    <t>1r06126</t>
  </si>
  <si>
    <t>CLIENT PASSAGER - GAFSA</t>
  </si>
  <si>
    <t>7X02000</t>
  </si>
  <si>
    <t>STE EL AMANA PIECES AUTOS</t>
  </si>
  <si>
    <t>6R21172</t>
  </si>
  <si>
    <t>CLIENT PASSAGER - GABES</t>
  </si>
  <si>
    <t>6X01000</t>
  </si>
  <si>
    <t>STE HERITIERS MHAMED SOUGUA</t>
  </si>
  <si>
    <t>3R15029</t>
  </si>
  <si>
    <t>STE HARECH TRANS.TERRESTRE</t>
  </si>
  <si>
    <t>1S01264</t>
  </si>
  <si>
    <t>STE PETRO-MED SARL</t>
  </si>
  <si>
    <t>1r05142</t>
  </si>
  <si>
    <t>SALWA BENT HASSEN ZDIRI</t>
  </si>
  <si>
    <t>8R11068</t>
  </si>
  <si>
    <t>STE MEZRI.VTE PCE.RECH.AGRIC</t>
  </si>
  <si>
    <t>8R08039</t>
  </si>
  <si>
    <t>TOTAL 06/2020</t>
  </si>
  <si>
    <t>ETABLISSEMENT DABOUSSI</t>
  </si>
  <si>
    <t>1R01481</t>
  </si>
  <si>
    <t>EL FAIDI MOHAMED NIZAR</t>
  </si>
  <si>
    <t>1R04062</t>
  </si>
  <si>
    <t>STE JAMEL AUTO PLUS</t>
  </si>
  <si>
    <t>1R01552</t>
  </si>
  <si>
    <t>STE PIECES RECHANGES "SPJA"</t>
  </si>
  <si>
    <t>1R04124</t>
  </si>
  <si>
    <t>MOHAMED GUIZA</t>
  </si>
  <si>
    <t>6R21045</t>
  </si>
  <si>
    <t>AMOR B.SADEK AOUDH</t>
  </si>
  <si>
    <t>6R21048</t>
  </si>
  <si>
    <t>CHOKRI KSIKSI</t>
  </si>
  <si>
    <t>6R23081</t>
  </si>
  <si>
    <t>BALTI TAREK</t>
  </si>
  <si>
    <t>1R01539</t>
  </si>
  <si>
    <t>WALID BEN HABIB CHORFI</t>
  </si>
  <si>
    <t>8R10037</t>
  </si>
  <si>
    <t>SADOK RHOUMA</t>
  </si>
  <si>
    <t>8R08005</t>
  </si>
  <si>
    <t>SOCIETE CEPA</t>
  </si>
  <si>
    <t>1R02078</t>
  </si>
  <si>
    <t>STE GLE DE COMMERCE PIECES</t>
  </si>
  <si>
    <t>7R22002</t>
  </si>
  <si>
    <t>FETHI MAALOUL</t>
  </si>
  <si>
    <t>6R21032</t>
  </si>
  <si>
    <t>AMMAR B. ABDERRAHMEN GHRIBI</t>
  </si>
  <si>
    <t>6R21035</t>
  </si>
  <si>
    <t>STE NASR CONTRACTORS</t>
  </si>
  <si>
    <t>1S01266</t>
  </si>
  <si>
    <t>STE EQUIP.GEN.BAROUDI[E.G.B]</t>
  </si>
  <si>
    <t>1R05072</t>
  </si>
  <si>
    <t>JAMEL BEN HEDI BEN KHSIB</t>
  </si>
  <si>
    <t>1R07048</t>
  </si>
  <si>
    <t>SLAHEDDINE CHARNI</t>
  </si>
  <si>
    <t>8R11011</t>
  </si>
  <si>
    <t>S O R E T R A S</t>
  </si>
  <si>
    <t>3T18004</t>
  </si>
  <si>
    <t>TAREK BEN KHEMAIES LAHBIB</t>
  </si>
  <si>
    <t>1R06028</t>
  </si>
  <si>
    <t>ETABLISSEMENTS AUPEICLE</t>
  </si>
  <si>
    <t>1R06034</t>
  </si>
  <si>
    <t>STE ZE.D.CA.D</t>
  </si>
  <si>
    <t>1R02271</t>
  </si>
  <si>
    <t>SOLDE au 19/12/2019</t>
  </si>
  <si>
    <t>TIB</t>
  </si>
  <si>
    <t>FN190090</t>
  </si>
  <si>
    <t>FN190091</t>
  </si>
  <si>
    <t>1R05211</t>
  </si>
  <si>
    <t>1R02224</t>
  </si>
  <si>
    <t>1R03124</t>
  </si>
  <si>
    <t>1R02264</t>
  </si>
  <si>
    <t>STE FIX-N-GO</t>
  </si>
  <si>
    <t>1S01255</t>
  </si>
  <si>
    <t>1R06161</t>
  </si>
  <si>
    <t>6r21074</t>
  </si>
  <si>
    <t>1R02148</t>
  </si>
  <si>
    <t>1r04144</t>
  </si>
  <si>
    <t>1R01479</t>
  </si>
  <si>
    <t>1R06142</t>
  </si>
  <si>
    <t>REZGUI ANIS BEN ALI BN AMARA</t>
  </si>
  <si>
    <t>8R10060</t>
  </si>
  <si>
    <t>RAMZI B RAHMANI B HJ HAMMADI</t>
  </si>
  <si>
    <t>8R08041</t>
  </si>
  <si>
    <t>AL JAWHARA LOCATION VOITURE</t>
  </si>
  <si>
    <t>1G01018</t>
  </si>
  <si>
    <t>STE INTERNAL COLLECTE.DECHET</t>
  </si>
  <si>
    <t>1G01017</t>
  </si>
  <si>
    <t>CHAABANE BADREDDINE B.MED</t>
  </si>
  <si>
    <t>7R19080</t>
  </si>
  <si>
    <t>1r03109</t>
  </si>
  <si>
    <t>1P01000</t>
  </si>
  <si>
    <t>MECHERGUI MED- EQUIPT AGRIC.</t>
  </si>
  <si>
    <t>8R10008</t>
  </si>
  <si>
    <t>MOHAMED B MED NEJIB REGUIGUI</t>
  </si>
  <si>
    <t>1R03125</t>
  </si>
  <si>
    <t>ETS. AYADI ABDEL-ILAH</t>
  </si>
  <si>
    <t>3R18117</t>
  </si>
  <si>
    <t>SOCIETE VEPRA</t>
  </si>
  <si>
    <t>3R18363</t>
  </si>
  <si>
    <t>INDUST. MECANIQ. MAGHREBINES</t>
  </si>
  <si>
    <t>1S01132</t>
  </si>
  <si>
    <t>STE FRIKHA PIECES AUTO</t>
  </si>
  <si>
    <t>3R18358</t>
  </si>
  <si>
    <t>GENERALE PIECES AUTO"GPA"</t>
  </si>
  <si>
    <t>3R18345</t>
  </si>
  <si>
    <t>KALLEL LASSAAD</t>
  </si>
  <si>
    <t>3R18111</t>
  </si>
  <si>
    <t>COMPTOIR PIECES FIAT-SELLAMI</t>
  </si>
  <si>
    <t>3R18140</t>
  </si>
  <si>
    <t>LE PRESTATAIRE  [ 1 ]</t>
  </si>
  <si>
    <t>1R06127</t>
  </si>
  <si>
    <t>LE PRESTATAIRE</t>
  </si>
  <si>
    <t>1R03179</t>
  </si>
  <si>
    <t>MOHAMED ALI AYARI</t>
  </si>
  <si>
    <t>8R08014</t>
  </si>
  <si>
    <t>MOHAMED TAHER TNANCHA</t>
  </si>
  <si>
    <t>7R22013</t>
  </si>
  <si>
    <t>MOHAMED HEDI BOUAOUJA</t>
  </si>
  <si>
    <t>6R23038</t>
  </si>
  <si>
    <t>STE ENASR</t>
  </si>
  <si>
    <t>1R01510</t>
  </si>
  <si>
    <t>S I A  BEN JEMAA ET CIE</t>
  </si>
  <si>
    <t>3R18074</t>
  </si>
  <si>
    <t>STE BICHIOU BRICO HOME</t>
  </si>
  <si>
    <t>1R05212</t>
  </si>
  <si>
    <t>STE DES TRAVAUX PUBLIC GAFSA</t>
  </si>
  <si>
    <t>7S19024</t>
  </si>
  <si>
    <t>STE RAHMANI DE PIECES AUTOS</t>
  </si>
  <si>
    <t>8R08043</t>
  </si>
  <si>
    <t>STE TUNISIENNE AGRICOLE</t>
  </si>
  <si>
    <t>8R09078</t>
  </si>
  <si>
    <t>FOURATI MOHAMED</t>
  </si>
  <si>
    <t>3R18413</t>
  </si>
  <si>
    <t>STE SIPRAMA</t>
  </si>
  <si>
    <t>1R04140</t>
  </si>
  <si>
    <t>STE TUN.PCE.RECH.ALM.SOTUPRA</t>
  </si>
  <si>
    <t>1R01558</t>
  </si>
  <si>
    <t>INTERMETAL</t>
  </si>
  <si>
    <t>1s02111</t>
  </si>
  <si>
    <t>SOCIETE MEDICAR</t>
  </si>
  <si>
    <t>1S01232</t>
  </si>
  <si>
    <t>PEARTCH</t>
  </si>
  <si>
    <t>1R03069</t>
  </si>
  <si>
    <t>SOCIETE AGRI MAN</t>
  </si>
  <si>
    <t>1R01534</t>
  </si>
  <si>
    <t>SAIDA SARRAY VEUVE FENINA</t>
  </si>
  <si>
    <t>1R05035</t>
  </si>
  <si>
    <t>STE AGRI.QUINCAILLERIE  AMEL</t>
  </si>
  <si>
    <t>1R05168</t>
  </si>
  <si>
    <t>STE CHARFEDDINE RATEL ET CIE</t>
  </si>
  <si>
    <t>6S21011</t>
  </si>
  <si>
    <t>CESSION TITRE STA A SNA</t>
  </si>
  <si>
    <t>SANS RS</t>
  </si>
  <si>
    <t>PART SNA ASSURANCE 2017 2018</t>
  </si>
  <si>
    <t>LOYER NBI A SNA</t>
  </si>
  <si>
    <t>MATIERE 1ER NBI A SNA</t>
  </si>
  <si>
    <t xml:space="preserve">LOYER TIP A SNA </t>
  </si>
  <si>
    <t>NBI A STA SOUS TRAITANCE</t>
  </si>
  <si>
    <t>LOYER TIP A STA</t>
  </si>
  <si>
    <t>INTERET 2019 CCA TIP SNA</t>
  </si>
  <si>
    <t>MATIERE 1ER SNA A NBI</t>
  </si>
  <si>
    <t>SOUS TREAITANCE SNA A NBI</t>
  </si>
  <si>
    <t>LOYER SND A STA</t>
  </si>
  <si>
    <t>SND A STA</t>
  </si>
  <si>
    <t>NBI A STA MATIERE 1ER</t>
  </si>
  <si>
    <t>00013920</t>
  </si>
  <si>
    <t>00013919</t>
  </si>
  <si>
    <t>00013918</t>
  </si>
  <si>
    <t>00013917</t>
  </si>
  <si>
    <t>00013915</t>
  </si>
  <si>
    <t>00013914</t>
  </si>
  <si>
    <t>00013913</t>
  </si>
  <si>
    <t>00013912</t>
  </si>
  <si>
    <t>00013911</t>
  </si>
  <si>
    <t>00013910</t>
  </si>
  <si>
    <t>00013909</t>
  </si>
  <si>
    <t>0005084</t>
  </si>
  <si>
    <t>0005087</t>
  </si>
  <si>
    <t>0005086</t>
  </si>
  <si>
    <t>0005085</t>
  </si>
  <si>
    <t>TR01249</t>
  </si>
  <si>
    <t>TR01248</t>
  </si>
  <si>
    <t>0005082</t>
  </si>
  <si>
    <t>0005081</t>
  </si>
  <si>
    <t>0005080</t>
  </si>
  <si>
    <t>0005079</t>
  </si>
  <si>
    <t>0005078</t>
  </si>
  <si>
    <t>CIL</t>
  </si>
  <si>
    <t>STE NOUVELLE DES ACC NOUR</t>
  </si>
  <si>
    <t>NAWFIL HAMZI</t>
  </si>
  <si>
    <t>Ulysse Spare Parts</t>
  </si>
  <si>
    <t>Somme de Poids net</t>
  </si>
  <si>
    <t>Livreur</t>
  </si>
  <si>
    <t>Matières</t>
  </si>
  <si>
    <t>Mois</t>
  </si>
  <si>
    <t>date Réception</t>
  </si>
  <si>
    <t>Hazem Chtourou</t>
  </si>
  <si>
    <t>Sotram</t>
  </si>
  <si>
    <t>Kammoun</t>
  </si>
  <si>
    <t>Kaïs Tayachi</t>
  </si>
  <si>
    <t>Total général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</si>
  <si>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</si>
  <si>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</si>
  <si>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</si>
  <si>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</si>
  <si>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</si>
  <si>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</si>
  <si>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</si>
  <si>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</si>
  <si>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</si>
  <si>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</si>
  <si>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</si>
  <si>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</si>
  <si>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Décembre</t>
  </si>
  <si>
    <t>Total Déchet plaques batteries</t>
  </si>
  <si>
    <t>Vieux Etain</t>
  </si>
  <si>
    <t>Total Vieux Etain</t>
  </si>
  <si>
    <t>Vieux Plomb</t>
  </si>
  <si>
    <t>Total Vieux Plomb</t>
  </si>
  <si>
    <t>Crasse plomb</t>
  </si>
  <si>
    <t>Total Crasse plomb</t>
  </si>
  <si>
    <t>PO190064</t>
  </si>
  <si>
    <t>610D0009</t>
  </si>
  <si>
    <t>DECHET PLAQUE BATTERIE</t>
  </si>
  <si>
    <t>L10162</t>
  </si>
  <si>
    <t>6</t>
  </si>
  <si>
    <t>RC190161</t>
  </si>
  <si>
    <t>CH000</t>
  </si>
  <si>
    <t>007</t>
  </si>
  <si>
    <t>PO190065</t>
  </si>
  <si>
    <t>RC190163</t>
  </si>
  <si>
    <t>PO190066</t>
  </si>
  <si>
    <t>L10191</t>
  </si>
  <si>
    <t>SOCIETE SFAX COLLECTE</t>
  </si>
  <si>
    <t>RC190164</t>
  </si>
  <si>
    <t>PO190135</t>
  </si>
  <si>
    <t>L10193</t>
  </si>
  <si>
    <t>SACO</t>
  </si>
  <si>
    <t>RC190221</t>
  </si>
  <si>
    <t>PO190423</t>
  </si>
  <si>
    <t>L10200</t>
  </si>
  <si>
    <t>ATIK MOHAMED</t>
  </si>
  <si>
    <t>RC190506</t>
  </si>
  <si>
    <t>RC190507</t>
  </si>
  <si>
    <t>PO190198</t>
  </si>
  <si>
    <t>L10190</t>
  </si>
  <si>
    <t>GHEDIFI ABDESSATAR</t>
  </si>
  <si>
    <t>RC190261</t>
  </si>
  <si>
    <t>RC190262</t>
  </si>
  <si>
    <t>RC190513</t>
  </si>
  <si>
    <t>RC190514</t>
  </si>
  <si>
    <t>PO190210</t>
  </si>
  <si>
    <t>RC190310</t>
  </si>
  <si>
    <t>RC190311</t>
  </si>
  <si>
    <t>PO190180</t>
  </si>
  <si>
    <t>RC190257</t>
  </si>
  <si>
    <t>PO190209</t>
  </si>
  <si>
    <t>RC190309</t>
  </si>
  <si>
    <t>RC190314</t>
  </si>
  <si>
    <t>PO190212</t>
  </si>
  <si>
    <t>RC190315</t>
  </si>
  <si>
    <t>PO190260</t>
  </si>
  <si>
    <t>RC190370</t>
  </si>
  <si>
    <t>RC190371</t>
  </si>
  <si>
    <t>PO190240</t>
  </si>
  <si>
    <t>L10197</t>
  </si>
  <si>
    <t>SGT</t>
  </si>
  <si>
    <t>RC190368</t>
  </si>
  <si>
    <t>PO190389</t>
  </si>
  <si>
    <t>RC190485</t>
  </si>
  <si>
    <t>RC190553</t>
  </si>
  <si>
    <t>PO190476</t>
  </si>
  <si>
    <t>RC190554</t>
  </si>
  <si>
    <t>PO190415</t>
  </si>
  <si>
    <t>L10138</t>
  </si>
  <si>
    <t>RC190531</t>
  </si>
  <si>
    <t>PO190413</t>
  </si>
  <si>
    <t>RC190529</t>
  </si>
  <si>
    <t>PO190414</t>
  </si>
  <si>
    <t>RC190530</t>
  </si>
  <si>
    <t>PO190390</t>
  </si>
  <si>
    <t>RC190486</t>
  </si>
  <si>
    <t>PO190391</t>
  </si>
  <si>
    <t>RC190487</t>
  </si>
  <si>
    <t>PO190503</t>
  </si>
  <si>
    <t>RC190582</t>
  </si>
  <si>
    <t>PO190520</t>
  </si>
  <si>
    <t>RC190607</t>
  </si>
  <si>
    <t>RC190678</t>
  </si>
  <si>
    <t>RC190679</t>
  </si>
  <si>
    <t>PO190504</t>
  </si>
  <si>
    <t>RC190583</t>
  </si>
  <si>
    <t>PO190560</t>
  </si>
  <si>
    <t>RC190651</t>
  </si>
  <si>
    <t>RC190722</t>
  </si>
  <si>
    <t>610d0009</t>
  </si>
  <si>
    <t>RC190723</t>
  </si>
  <si>
    <t>PO190582</t>
  </si>
  <si>
    <t>RC190739</t>
  </si>
  <si>
    <t>PO190586</t>
  </si>
  <si>
    <t>RC190738</t>
  </si>
  <si>
    <t>PO190584</t>
  </si>
  <si>
    <t>RC190736</t>
  </si>
  <si>
    <t>PO190681</t>
  </si>
  <si>
    <t>RC190853</t>
  </si>
  <si>
    <t>PO190682</t>
  </si>
  <si>
    <t>RC190854</t>
  </si>
  <si>
    <t>PO190729</t>
  </si>
  <si>
    <t>RC190917</t>
  </si>
  <si>
    <t>PO190730</t>
  </si>
  <si>
    <t>RC190915</t>
  </si>
  <si>
    <t>PO190727</t>
  </si>
  <si>
    <t>RC190914</t>
  </si>
  <si>
    <t>RC190923</t>
  </si>
  <si>
    <t>RC190924</t>
  </si>
  <si>
    <t>PO190818</t>
  </si>
  <si>
    <t>RC190999</t>
  </si>
  <si>
    <t>PO190751</t>
  </si>
  <si>
    <t>L10202</t>
  </si>
  <si>
    <t>STE NOVA DES METAUX</t>
  </si>
  <si>
    <t>RC190913</t>
  </si>
  <si>
    <t>PO190861</t>
  </si>
  <si>
    <t>RC191037</t>
  </si>
  <si>
    <t>PO190904</t>
  </si>
  <si>
    <t>RC191078</t>
  </si>
  <si>
    <t>PO190905</t>
  </si>
  <si>
    <t>RC191079</t>
  </si>
  <si>
    <t>PO190911</t>
  </si>
  <si>
    <t>RC191080</t>
  </si>
  <si>
    <t>RC191085</t>
  </si>
  <si>
    <t>RC191086</t>
  </si>
  <si>
    <t>RC191094</t>
  </si>
  <si>
    <t>PO191003</t>
  </si>
  <si>
    <t>RC191162</t>
  </si>
  <si>
    <t>PO190984</t>
  </si>
  <si>
    <t>RC191153</t>
  </si>
  <si>
    <t>PO190983</t>
  </si>
  <si>
    <t>RC191152</t>
  </si>
  <si>
    <t>PO190982</t>
  </si>
  <si>
    <t>RC191151</t>
  </si>
  <si>
    <t>PO190991</t>
  </si>
  <si>
    <t>RC191150</t>
  </si>
  <si>
    <t>PO191067</t>
  </si>
  <si>
    <t>RC191308</t>
  </si>
  <si>
    <t>RC191407</t>
  </si>
  <si>
    <t>PO191231</t>
  </si>
  <si>
    <t>L10192</t>
  </si>
  <si>
    <t>VALDEC</t>
  </si>
  <si>
    <t>RC191408</t>
  </si>
  <si>
    <t>PO191108</t>
  </si>
  <si>
    <t>RC191307</t>
  </si>
  <si>
    <t>RC191406</t>
  </si>
  <si>
    <t>PO191233</t>
  </si>
  <si>
    <t>RC191410</t>
  </si>
  <si>
    <t>PO191107</t>
  </si>
  <si>
    <t>RC191306</t>
  </si>
  <si>
    <t>RC191405</t>
  </si>
  <si>
    <t>PO191232</t>
  </si>
  <si>
    <t>RC191409</t>
  </si>
  <si>
    <t>PO191155</t>
  </si>
  <si>
    <t>l10200</t>
  </si>
  <si>
    <t>RC191357</t>
  </si>
  <si>
    <t>PO191126</t>
  </si>
  <si>
    <t>RC191604</t>
  </si>
  <si>
    <t>PO191158</t>
  </si>
  <si>
    <t>RC191354</t>
  </si>
  <si>
    <t>RC191404</t>
  </si>
  <si>
    <t>PO191234</t>
  </si>
  <si>
    <t>RC191411</t>
  </si>
  <si>
    <t>PO191255</t>
  </si>
  <si>
    <t>RC191437</t>
  </si>
  <si>
    <t>PO191251</t>
  </si>
  <si>
    <t>RC191426</t>
  </si>
  <si>
    <t>PO191420</t>
  </si>
  <si>
    <t>RC191607</t>
  </si>
  <si>
    <t>PO191422</t>
  </si>
  <si>
    <t>RC191609</t>
  </si>
  <si>
    <t>PO191254</t>
  </si>
  <si>
    <t>RC191436</t>
  </si>
  <si>
    <t>PO191252</t>
  </si>
  <si>
    <t>RC191435</t>
  </si>
  <si>
    <t>RC191822</t>
  </si>
  <si>
    <t>PO191424</t>
  </si>
  <si>
    <t>RC191611</t>
  </si>
  <si>
    <t>PO191309</t>
  </si>
  <si>
    <t>RC191484</t>
  </si>
  <si>
    <t>PO191310</t>
  </si>
  <si>
    <t>RC191485</t>
  </si>
  <si>
    <t>PO191429</t>
  </si>
  <si>
    <t>RC191612</t>
  </si>
  <si>
    <t>PO191418</t>
  </si>
  <si>
    <t>RC191605</t>
  </si>
  <si>
    <t>RC191739</t>
  </si>
  <si>
    <t>PO191528</t>
  </si>
  <si>
    <t>RC191749</t>
  </si>
  <si>
    <t>PO191419</t>
  </si>
  <si>
    <t>RC191606</t>
  </si>
  <si>
    <t>PO191421</t>
  </si>
  <si>
    <t>RC191608</t>
  </si>
  <si>
    <t>PO191608</t>
  </si>
  <si>
    <t>l10162</t>
  </si>
  <si>
    <t>RC191840</t>
  </si>
  <si>
    <t>PO191578</t>
  </si>
  <si>
    <t>RC191816</t>
  </si>
  <si>
    <t>PO191628</t>
  </si>
  <si>
    <t>RC191854</t>
  </si>
  <si>
    <t>PO191580</t>
  </si>
  <si>
    <t>RC191818</t>
  </si>
  <si>
    <t>PO191579</t>
  </si>
  <si>
    <t>RC191817</t>
  </si>
  <si>
    <t>PO191576</t>
  </si>
  <si>
    <t>RC191814</t>
  </si>
  <si>
    <t>RC192104</t>
  </si>
  <si>
    <t>PO191575</t>
  </si>
  <si>
    <t>RC191813</t>
  </si>
  <si>
    <t>PO191577</t>
  </si>
  <si>
    <t>RC191815</t>
  </si>
  <si>
    <t>PO191607</t>
  </si>
  <si>
    <t>l10202</t>
  </si>
  <si>
    <t>RC191839</t>
  </si>
  <si>
    <t>PO191626</t>
  </si>
  <si>
    <t>RC191852</t>
  </si>
  <si>
    <t>PO191625</t>
  </si>
  <si>
    <t>l10138</t>
  </si>
  <si>
    <t>RC191851</t>
  </si>
  <si>
    <t>PO191664</t>
  </si>
  <si>
    <t>RC191899</t>
  </si>
  <si>
    <t>PO191711</t>
  </si>
  <si>
    <t>RC191996</t>
  </si>
  <si>
    <t>PO191710</t>
  </si>
  <si>
    <t>RC191995</t>
  </si>
  <si>
    <t>PO191708</t>
  </si>
  <si>
    <t>RC191987</t>
  </si>
  <si>
    <t>PO191709</t>
  </si>
  <si>
    <t>RC191997</t>
  </si>
  <si>
    <t>PO191740</t>
  </si>
  <si>
    <t>RC191998</t>
  </si>
  <si>
    <t>PO191741</t>
  </si>
  <si>
    <t>RC191999</t>
  </si>
  <si>
    <t>PO191742</t>
  </si>
  <si>
    <t>RC191986</t>
  </si>
  <si>
    <t>PO191843</t>
  </si>
  <si>
    <t>RC192236</t>
  </si>
  <si>
    <t>PO191840</t>
  </si>
  <si>
    <t>RC192234</t>
  </si>
  <si>
    <t>PO191839</t>
  </si>
  <si>
    <t>RC192233</t>
  </si>
  <si>
    <t>PO191870</t>
  </si>
  <si>
    <t>RC192165</t>
  </si>
  <si>
    <t>PO191867</t>
  </si>
  <si>
    <t>RC192166</t>
  </si>
  <si>
    <t>PO191842</t>
  </si>
  <si>
    <t>RC192163</t>
  </si>
  <si>
    <t>PO191868</t>
  </si>
  <si>
    <t>RC192237</t>
  </si>
  <si>
    <t>PO192013</t>
  </si>
  <si>
    <t>RC192280</t>
  </si>
  <si>
    <t>PO192014</t>
  </si>
  <si>
    <t>RC192279</t>
  </si>
  <si>
    <t>PO192015</t>
  </si>
  <si>
    <t>RC192274</t>
  </si>
  <si>
    <t>PO192016</t>
  </si>
  <si>
    <t>RC192275</t>
  </si>
  <si>
    <t>PO192017</t>
  </si>
  <si>
    <t>RC192276</t>
  </si>
  <si>
    <t>PO192018</t>
  </si>
  <si>
    <t>RC192277</t>
  </si>
  <si>
    <t>PO192060</t>
  </si>
  <si>
    <t>RC192305</t>
  </si>
  <si>
    <t>PO192019</t>
  </si>
  <si>
    <t>RC192308</t>
  </si>
  <si>
    <t>PO192011</t>
  </si>
  <si>
    <t>RC192282</t>
  </si>
  <si>
    <t>PO192020</t>
  </si>
  <si>
    <t>RC192278</t>
  </si>
  <si>
    <t>PO192038</t>
  </si>
  <si>
    <t>RC192304</t>
  </si>
  <si>
    <t>PO192036</t>
  </si>
  <si>
    <t>RC192303</t>
  </si>
  <si>
    <t>PO192183</t>
  </si>
  <si>
    <t>RC192490</t>
  </si>
  <si>
    <t>RC192516</t>
  </si>
  <si>
    <t>PO192279</t>
  </si>
  <si>
    <t>l10192</t>
  </si>
  <si>
    <t>RC192528</t>
  </si>
  <si>
    <t>PO192180</t>
  </si>
  <si>
    <t>RC192487</t>
  </si>
  <si>
    <t>PO192182</t>
  </si>
  <si>
    <t>RC192489</t>
  </si>
  <si>
    <t>RC192517</t>
  </si>
  <si>
    <t>PO192281</t>
  </si>
  <si>
    <t>RC192527</t>
  </si>
  <si>
    <t>PO192179</t>
  </si>
  <si>
    <t>RC192486</t>
  </si>
  <si>
    <t>PO192181</t>
  </si>
  <si>
    <t>RC192488</t>
  </si>
  <si>
    <t>RC192518</t>
  </si>
  <si>
    <t>PO192282</t>
  </si>
  <si>
    <t>RC192529</t>
  </si>
  <si>
    <t>PO192241</t>
  </si>
  <si>
    <t>RC192525</t>
  </si>
  <si>
    <t>PO192240</t>
  </si>
  <si>
    <t>RC192530</t>
  </si>
  <si>
    <t>PO192283</t>
  </si>
  <si>
    <t>RC192531</t>
  </si>
  <si>
    <t>PO192310</t>
  </si>
  <si>
    <t>RC192560</t>
  </si>
  <si>
    <t>po192258</t>
  </si>
  <si>
    <t>RC192526</t>
  </si>
  <si>
    <t>hazem</t>
  </si>
  <si>
    <t>kais</t>
  </si>
  <si>
    <t>sotram</t>
  </si>
  <si>
    <t>sta nour</t>
  </si>
  <si>
    <t>CHTOUROU</t>
  </si>
  <si>
    <t>TOTAL DIVERS</t>
  </si>
  <si>
    <t>TOTAL ELEMENT</t>
  </si>
  <si>
    <t>ELEMENT BATTERIES</t>
  </si>
  <si>
    <t>LOYER</t>
  </si>
  <si>
    <t>FERNOX+FARINE DE CHENE+HADELIN</t>
  </si>
  <si>
    <t>FG</t>
  </si>
  <si>
    <t>$ = 2,7985</t>
  </si>
  <si>
    <t>EURO = 3,1402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</si>
</sst>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.00\ _€_-;\-* #,##0.00\ _€_-;_-* &quot;-&quot;??\ _€_-;_-@_-"/>
    <numFmt numFmtId="165" formatCode="#,##0.000"/>
    <numFmt numFmtId="166" formatCode="#,##0.000\ _F"/>
    <numFmt numFmtId="167" formatCode="#,##0;[Red]#,##0"/>
    <numFmt numFmtId="168" formatCode="0.0000000"/>
    <numFmt numFmtId="169" formatCode="[$-40C]d\-mmm\-yy;@"/>
    <numFmt numFmtId="170" formatCode="[$-40C]mmm\-yy;@"/>
    <numFmt numFmtId="171" formatCode="_-* #,##0.0000000\ _€_-;\-* #,##0.0000000\ _€_-;_-* &quot;-&quot;??\ _€_-;_-@_-"/>
    <numFmt numFmtId="172" formatCode="0.000000000%"/>
    <numFmt numFmtId="173" formatCode="0.00000000"/>
    <numFmt numFmtId="175" formatCode="0.000"/>
    <numFmt numFmtId="176" formatCode="#,##0.0000"/>
    <numFmt numFmtId="177" formatCode="0.0000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FF00"/>
      <name val="Times New Roman"/>
      <family val="1"/>
    </font>
    <font>
      <b/>
      <i/>
      <sz val="10"/>
      <color theme="1"/>
      <name val="Times New Roman"/>
      <family val="1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i/>
      <sz val="11"/>
      <name val="Calibri"/>
      <family val="2"/>
      <scheme val="minor"/>
    </font>
    <font>
      <b/>
      <sz val="10"/>
      <color rgb="FFFF0000"/>
      <name val="Times New Roman"/>
      <family val="1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C5BE97"/>
        <bgColor indexed="64"/>
      </patternFill>
    </fill>
    <fill>
      <patternFill patternType="solid">
        <fgColor rgb="FF948B5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theme="1" tint="0.34998626667073579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medium">
        <color rgb="FF95B3D7"/>
      </bottom>
      <diagonal/>
    </border>
    <border>
      <left/>
      <right/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35" fillId="0" borderId="0" applyNumberFormat="0" applyFill="0" applyBorder="0" applyAlignment="0" applyProtection="0">
      <alignment vertical="top"/>
      <protection locked="0"/>
    </xf>
  </cellStyleXfs>
  <cellXfs count="1064">
    <xf numFmtId="0" fontId="0" fillId="0" borderId="0" xfId="0"/>
    <xf numFmtId="0" fontId="2" fillId="0" borderId="0" xfId="0" applyFont="1"/>
    <xf numFmtId="4" fontId="2" fillId="0" borderId="0" xfId="0" applyNumberFormat="1" applyFont="1"/>
    <xf numFmtId="165" fontId="2" fillId="0" borderId="0" xfId="0" applyNumberFormat="1" applyFont="1"/>
    <xf numFmtId="0" fontId="5" fillId="0" borderId="13" xfId="0" applyFont="1" applyBorder="1"/>
    <xf numFmtId="0" fontId="5" fillId="0" borderId="14" xfId="0" applyFont="1" applyBorder="1"/>
    <xf numFmtId="14" fontId="5" fillId="0" borderId="15" xfId="0" applyNumberFormat="1" applyFont="1" applyBorder="1"/>
    <xf numFmtId="0" fontId="5" fillId="0" borderId="15" xfId="0" applyFont="1" applyBorder="1"/>
    <xf numFmtId="4" fontId="5" fillId="0" borderId="15" xfId="0" applyNumberFormat="1" applyFont="1" applyBorder="1"/>
    <xf numFmtId="165" fontId="5" fillId="0" borderId="15" xfId="0" applyNumberFormat="1" applyFont="1" applyBorder="1"/>
    <xf numFmtId="14" fontId="5" fillId="0" borderId="16" xfId="0" applyNumberFormat="1" applyFont="1" applyBorder="1"/>
    <xf numFmtId="165" fontId="5" fillId="0" borderId="14" xfId="0" applyNumberFormat="1" applyFont="1" applyBorder="1"/>
    <xf numFmtId="4" fontId="5" fillId="0" borderId="14" xfId="0" applyNumberFormat="1" applyFont="1" applyBorder="1"/>
    <xf numFmtId="0" fontId="5" fillId="0" borderId="16" xfId="0" applyFont="1" applyBorder="1"/>
    <xf numFmtId="4" fontId="5" fillId="0" borderId="13" xfId="0" applyNumberFormat="1" applyFont="1" applyBorder="1"/>
    <xf numFmtId="0" fontId="6" fillId="0" borderId="0" xfId="0" applyFont="1"/>
    <xf numFmtId="165" fontId="4" fillId="2" borderId="27" xfId="0" applyNumberFormat="1" applyFont="1" applyFill="1" applyBorder="1" applyAlignment="1">
      <alignment horizontal="center"/>
    </xf>
    <xf numFmtId="4" fontId="4" fillId="2" borderId="27" xfId="0" applyNumberFormat="1" applyFont="1" applyFill="1" applyBorder="1" applyAlignment="1">
      <alignment horizontal="center"/>
    </xf>
    <xf numFmtId="14" fontId="4" fillId="2" borderId="27" xfId="0" applyNumberFormat="1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167" fontId="9" fillId="5" borderId="17" xfId="0" applyNumberFormat="1" applyFont="1" applyFill="1" applyBorder="1"/>
    <xf numFmtId="167" fontId="10" fillId="0" borderId="0" xfId="0" applyNumberFormat="1" applyFont="1"/>
    <xf numFmtId="0" fontId="14" fillId="6" borderId="9" xfId="0" applyFont="1" applyFill="1" applyBorder="1"/>
    <xf numFmtId="0" fontId="9" fillId="0" borderId="9" xfId="0" applyFont="1" applyBorder="1"/>
    <xf numFmtId="167" fontId="9" fillId="5" borderId="9" xfId="0" applyNumberFormat="1" applyFont="1" applyFill="1" applyBorder="1"/>
    <xf numFmtId="14" fontId="6" fillId="0" borderId="0" xfId="0" applyNumberFormat="1" applyFont="1"/>
    <xf numFmtId="14" fontId="4" fillId="0" borderId="31" xfId="0" applyNumberFormat="1" applyFont="1" applyBorder="1" applyAlignment="1">
      <alignment horizontal="right"/>
    </xf>
    <xf numFmtId="165" fontId="0" fillId="0" borderId="0" xfId="0" applyNumberFormat="1"/>
    <xf numFmtId="0" fontId="6" fillId="0" borderId="17" xfId="0" applyFont="1" applyBorder="1" applyAlignment="1">
      <alignment vertical="center"/>
    </xf>
    <xf numFmtId="0" fontId="6" fillId="0" borderId="19" xfId="0" applyFont="1" applyBorder="1"/>
    <xf numFmtId="4" fontId="6" fillId="0" borderId="19" xfId="0" applyNumberFormat="1" applyFont="1" applyBorder="1" applyAlignment="1">
      <alignment horizontal="center"/>
    </xf>
    <xf numFmtId="14" fontId="6" fillId="0" borderId="20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4" fontId="6" fillId="0" borderId="18" xfId="0" applyNumberFormat="1" applyFont="1" applyBorder="1" applyAlignment="1">
      <alignment horizontal="center"/>
    </xf>
    <xf numFmtId="14" fontId="6" fillId="0" borderId="20" xfId="0" applyNumberFormat="1" applyFont="1" applyBorder="1" applyAlignment="1">
      <alignment vertical="center"/>
    </xf>
    <xf numFmtId="4" fontId="6" fillId="0" borderId="17" xfId="0" applyNumberFormat="1" applyFont="1" applyBorder="1"/>
    <xf numFmtId="164" fontId="2" fillId="0" borderId="0" xfId="1" applyFont="1" applyFill="1"/>
    <xf numFmtId="0" fontId="4" fillId="0" borderId="0" xfId="0" applyFont="1"/>
    <xf numFmtId="0" fontId="2" fillId="0" borderId="23" xfId="0" applyFont="1" applyBorder="1"/>
    <xf numFmtId="0" fontId="2" fillId="0" borderId="24" xfId="0" applyFont="1" applyBorder="1"/>
    <xf numFmtId="14" fontId="2" fillId="0" borderId="25" xfId="0" applyNumberFormat="1" applyFont="1" applyBorder="1"/>
    <xf numFmtId="4" fontId="2" fillId="0" borderId="25" xfId="0" applyNumberFormat="1" applyFont="1" applyBorder="1"/>
    <xf numFmtId="165" fontId="2" fillId="0" borderId="25" xfId="0" applyNumberFormat="1" applyFont="1" applyBorder="1"/>
    <xf numFmtId="14" fontId="2" fillId="0" borderId="26" xfId="1" applyNumberFormat="1" applyFont="1" applyFill="1" applyBorder="1"/>
    <xf numFmtId="0" fontId="2" fillId="0" borderId="25" xfId="0" applyFont="1" applyBorder="1"/>
    <xf numFmtId="0" fontId="2" fillId="0" borderId="26" xfId="0" applyFont="1" applyBorder="1"/>
    <xf numFmtId="4" fontId="2" fillId="0" borderId="24" xfId="0" applyNumberFormat="1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4" fontId="2" fillId="0" borderId="15" xfId="0" applyNumberFormat="1" applyFont="1" applyBorder="1"/>
    <xf numFmtId="165" fontId="2" fillId="0" borderId="15" xfId="0" applyNumberFormat="1" applyFont="1" applyBorder="1"/>
    <xf numFmtId="164" fontId="2" fillId="0" borderId="16" xfId="1" applyFont="1" applyFill="1" applyBorder="1"/>
    <xf numFmtId="165" fontId="2" fillId="0" borderId="14" xfId="0" applyNumberFormat="1" applyFont="1" applyBorder="1"/>
    <xf numFmtId="0" fontId="2" fillId="0" borderId="16" xfId="0" applyFont="1" applyBorder="1"/>
    <xf numFmtId="4" fontId="2" fillId="0" borderId="14" xfId="0" applyNumberFormat="1" applyFont="1" applyBorder="1"/>
    <xf numFmtId="3" fontId="10" fillId="0" borderId="0" xfId="0" applyNumberFormat="1" applyFont="1"/>
    <xf numFmtId="167" fontId="13" fillId="4" borderId="16" xfId="0" applyNumberFormat="1" applyFont="1" applyFill="1" applyBorder="1"/>
    <xf numFmtId="167" fontId="13" fillId="4" borderId="14" xfId="0" applyNumberFormat="1" applyFont="1" applyFill="1" applyBorder="1"/>
    <xf numFmtId="3" fontId="10" fillId="0" borderId="12" xfId="0" applyNumberFormat="1" applyFont="1" applyBorder="1" applyAlignment="1">
      <alignment horizontal="right" indent="1"/>
    </xf>
    <xf numFmtId="3" fontId="10" fillId="0" borderId="10" xfId="0" applyNumberFormat="1" applyFont="1" applyBorder="1" applyAlignment="1">
      <alignment horizontal="right" indent="1"/>
    </xf>
    <xf numFmtId="3" fontId="9" fillId="0" borderId="12" xfId="0" applyNumberFormat="1" applyFont="1" applyBorder="1"/>
    <xf numFmtId="3" fontId="9" fillId="0" borderId="10" xfId="0" applyNumberFormat="1" applyFont="1" applyBorder="1"/>
    <xf numFmtId="3" fontId="9" fillId="0" borderId="12" xfId="0" applyNumberFormat="1" applyFont="1" applyBorder="1" applyAlignment="1">
      <alignment horizontal="right"/>
    </xf>
    <xf numFmtId="3" fontId="9" fillId="0" borderId="10" xfId="0" applyNumberFormat="1" applyFont="1" applyBorder="1" applyAlignment="1">
      <alignment horizontal="right"/>
    </xf>
    <xf numFmtId="0" fontId="9" fillId="0" borderId="9" xfId="0" applyFont="1" applyBorder="1" applyAlignment="1">
      <alignment horizontal="left"/>
    </xf>
    <xf numFmtId="3" fontId="10" fillId="0" borderId="12" xfId="0" applyNumberFormat="1" applyFont="1" applyBorder="1"/>
    <xf numFmtId="3" fontId="10" fillId="0" borderId="10" xfId="0" applyNumberFormat="1" applyFont="1" applyBorder="1" applyAlignment="1">
      <alignment horizontal="center"/>
    </xf>
    <xf numFmtId="14" fontId="0" fillId="0" borderId="0" xfId="0" applyNumberFormat="1"/>
    <xf numFmtId="4" fontId="0" fillId="0" borderId="0" xfId="0" applyNumberFormat="1"/>
    <xf numFmtId="0" fontId="16" fillId="0" borderId="0" xfId="0" applyFont="1"/>
    <xf numFmtId="3" fontId="10" fillId="0" borderId="11" xfId="0" applyNumberFormat="1" applyFont="1" applyBorder="1"/>
    <xf numFmtId="3" fontId="9" fillId="0" borderId="11" xfId="0" applyNumberFormat="1" applyFont="1" applyBorder="1"/>
    <xf numFmtId="3" fontId="9" fillId="0" borderId="11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 indent="1"/>
    </xf>
    <xf numFmtId="167" fontId="9" fillId="5" borderId="10" xfId="0" applyNumberFormat="1" applyFont="1" applyFill="1" applyBorder="1" applyAlignment="1">
      <alignment horizontal="center"/>
    </xf>
    <xf numFmtId="167" fontId="9" fillId="5" borderId="12" xfId="0" applyNumberFormat="1" applyFont="1" applyFill="1" applyBorder="1" applyAlignment="1">
      <alignment horizontal="center"/>
    </xf>
    <xf numFmtId="167" fontId="9" fillId="5" borderId="11" xfId="0" applyNumberFormat="1" applyFont="1" applyFill="1" applyBorder="1" applyAlignment="1">
      <alignment horizontal="center"/>
    </xf>
    <xf numFmtId="167" fontId="13" fillId="4" borderId="15" xfId="0" applyNumberFormat="1" applyFont="1" applyFill="1" applyBorder="1"/>
    <xf numFmtId="3" fontId="10" fillId="0" borderId="36" xfId="0" applyNumberFormat="1" applyFont="1" applyBorder="1" applyAlignment="1">
      <alignment horizontal="center"/>
    </xf>
    <xf numFmtId="3" fontId="9" fillId="0" borderId="36" xfId="0" applyNumberFormat="1" applyFont="1" applyBorder="1" applyAlignment="1">
      <alignment horizontal="center"/>
    </xf>
    <xf numFmtId="3" fontId="10" fillId="0" borderId="36" xfId="0" applyNumberFormat="1" applyFont="1" applyBorder="1" applyAlignment="1">
      <alignment horizontal="right" indent="1"/>
    </xf>
    <xf numFmtId="3" fontId="9" fillId="5" borderId="27" xfId="0" applyNumberFormat="1" applyFont="1" applyFill="1" applyBorder="1" applyAlignment="1">
      <alignment horizontal="center"/>
    </xf>
    <xf numFmtId="3" fontId="10" fillId="0" borderId="28" xfId="0" applyNumberFormat="1" applyFont="1" applyBorder="1" applyAlignment="1">
      <alignment horizontal="center"/>
    </xf>
    <xf numFmtId="3" fontId="10" fillId="0" borderId="37" xfId="0" applyNumberFormat="1" applyFont="1" applyBorder="1" applyAlignment="1">
      <alignment horizontal="center"/>
    </xf>
    <xf numFmtId="3" fontId="10" fillId="0" borderId="38" xfId="0" applyNumberFormat="1" applyFont="1" applyBorder="1"/>
    <xf numFmtId="0" fontId="4" fillId="4" borderId="9" xfId="0" applyFont="1" applyFill="1" applyBorder="1"/>
    <xf numFmtId="0" fontId="4" fillId="4" borderId="10" xfId="0" applyFont="1" applyFill="1" applyBorder="1"/>
    <xf numFmtId="14" fontId="4" fillId="4" borderId="11" xfId="0" applyNumberFormat="1" applyFont="1" applyFill="1" applyBorder="1"/>
    <xf numFmtId="0" fontId="4" fillId="4" borderId="11" xfId="0" applyFont="1" applyFill="1" applyBorder="1"/>
    <xf numFmtId="4" fontId="4" fillId="4" borderId="11" xfId="0" applyNumberFormat="1" applyFont="1" applyFill="1" applyBorder="1"/>
    <xf numFmtId="165" fontId="4" fillId="4" borderId="11" xfId="0" applyNumberFormat="1" applyFont="1" applyFill="1" applyBorder="1"/>
    <xf numFmtId="14" fontId="4" fillId="4" borderId="12" xfId="0" applyNumberFormat="1" applyFont="1" applyFill="1" applyBorder="1"/>
    <xf numFmtId="165" fontId="4" fillId="4" borderId="10" xfId="0" applyNumberFormat="1" applyFont="1" applyFill="1" applyBorder="1"/>
    <xf numFmtId="0" fontId="4" fillId="4" borderId="12" xfId="0" applyFont="1" applyFill="1" applyBorder="1"/>
    <xf numFmtId="4" fontId="4" fillId="4" borderId="10" xfId="0" applyNumberFormat="1" applyFont="1" applyFill="1" applyBorder="1"/>
    <xf numFmtId="4" fontId="4" fillId="4" borderId="9" xfId="0" applyNumberFormat="1" applyFont="1" applyFill="1" applyBorder="1"/>
    <xf numFmtId="3" fontId="9" fillId="7" borderId="10" xfId="0" applyNumberFormat="1" applyFont="1" applyFill="1" applyBorder="1" applyAlignment="1">
      <alignment horizontal="center"/>
    </xf>
    <xf numFmtId="3" fontId="9" fillId="7" borderId="36" xfId="0" applyNumberFormat="1" applyFont="1" applyFill="1" applyBorder="1" applyAlignment="1">
      <alignment horizontal="center"/>
    </xf>
    <xf numFmtId="3" fontId="10" fillId="7" borderId="11" xfId="0" applyNumberFormat="1" applyFont="1" applyFill="1" applyBorder="1"/>
    <xf numFmtId="3" fontId="10" fillId="7" borderId="12" xfId="0" applyNumberFormat="1" applyFont="1" applyFill="1" applyBorder="1"/>
    <xf numFmtId="14" fontId="4" fillId="4" borderId="12" xfId="1" applyNumberFormat="1" applyFont="1" applyFill="1" applyBorder="1"/>
    <xf numFmtId="4" fontId="4" fillId="0" borderId="7" xfId="0" applyNumberFormat="1" applyFont="1" applyBorder="1"/>
    <xf numFmtId="0" fontId="6" fillId="4" borderId="13" xfId="0" applyFont="1" applyFill="1" applyBorder="1"/>
    <xf numFmtId="0" fontId="6" fillId="4" borderId="14" xfId="0" applyFont="1" applyFill="1" applyBorder="1"/>
    <xf numFmtId="14" fontId="6" fillId="4" borderId="15" xfId="0" applyNumberFormat="1" applyFont="1" applyFill="1" applyBorder="1"/>
    <xf numFmtId="0" fontId="6" fillId="4" borderId="15" xfId="0" applyFont="1" applyFill="1" applyBorder="1"/>
    <xf numFmtId="4" fontId="6" fillId="4" borderId="15" xfId="0" applyNumberFormat="1" applyFont="1" applyFill="1" applyBorder="1"/>
    <xf numFmtId="165" fontId="6" fillId="4" borderId="15" xfId="0" applyNumberFormat="1" applyFont="1" applyFill="1" applyBorder="1"/>
    <xf numFmtId="14" fontId="6" fillId="4" borderId="16" xfId="0" applyNumberFormat="1" applyFont="1" applyFill="1" applyBorder="1"/>
    <xf numFmtId="165" fontId="6" fillId="4" borderId="14" xfId="0" applyNumberFormat="1" applyFont="1" applyFill="1" applyBorder="1"/>
    <xf numFmtId="0" fontId="6" fillId="4" borderId="16" xfId="0" applyFont="1" applyFill="1" applyBorder="1"/>
    <xf numFmtId="4" fontId="6" fillId="4" borderId="14" xfId="0" applyNumberFormat="1" applyFont="1" applyFill="1" applyBorder="1"/>
    <xf numFmtId="4" fontId="6" fillId="4" borderId="13" xfId="0" applyNumberFormat="1" applyFont="1" applyFill="1" applyBorder="1"/>
    <xf numFmtId="0" fontId="4" fillId="4" borderId="23" xfId="0" applyFont="1" applyFill="1" applyBorder="1"/>
    <xf numFmtId="0" fontId="4" fillId="4" borderId="24" xfId="0" applyFont="1" applyFill="1" applyBorder="1"/>
    <xf numFmtId="14" fontId="4" fillId="4" borderId="25" xfId="0" applyNumberFormat="1" applyFont="1" applyFill="1" applyBorder="1"/>
    <xf numFmtId="0" fontId="4" fillId="4" borderId="25" xfId="0" applyFont="1" applyFill="1" applyBorder="1"/>
    <xf numFmtId="4" fontId="4" fillId="4" borderId="25" xfId="0" applyNumberFormat="1" applyFont="1" applyFill="1" applyBorder="1"/>
    <xf numFmtId="165" fontId="4" fillId="4" borderId="25" xfId="0" applyNumberFormat="1" applyFont="1" applyFill="1" applyBorder="1"/>
    <xf numFmtId="14" fontId="4" fillId="4" borderId="26" xfId="0" applyNumberFormat="1" applyFont="1" applyFill="1" applyBorder="1"/>
    <xf numFmtId="165" fontId="4" fillId="4" borderId="24" xfId="0" applyNumberFormat="1" applyFont="1" applyFill="1" applyBorder="1"/>
    <xf numFmtId="4" fontId="4" fillId="4" borderId="24" xfId="0" applyNumberFormat="1" applyFont="1" applyFill="1" applyBorder="1"/>
    <xf numFmtId="0" fontId="4" fillId="4" borderId="26" xfId="0" applyFont="1" applyFill="1" applyBorder="1"/>
    <xf numFmtId="4" fontId="4" fillId="4" borderId="23" xfId="0" applyNumberFormat="1" applyFont="1" applyFill="1" applyBorder="1"/>
    <xf numFmtId="0" fontId="4" fillId="4" borderId="17" xfId="0" applyFont="1" applyFill="1" applyBorder="1"/>
    <xf numFmtId="0" fontId="4" fillId="4" borderId="18" xfId="0" applyFont="1" applyFill="1" applyBorder="1"/>
    <xf numFmtId="14" fontId="4" fillId="4" borderId="19" xfId="0" applyNumberFormat="1" applyFont="1" applyFill="1" applyBorder="1"/>
    <xf numFmtId="0" fontId="4" fillId="4" borderId="19" xfId="0" applyFont="1" applyFill="1" applyBorder="1"/>
    <xf numFmtId="4" fontId="4" fillId="4" borderId="19" xfId="0" applyNumberFormat="1" applyFont="1" applyFill="1" applyBorder="1"/>
    <xf numFmtId="165" fontId="4" fillId="4" borderId="19" xfId="0" applyNumberFormat="1" applyFont="1" applyFill="1" applyBorder="1"/>
    <xf numFmtId="14" fontId="4" fillId="4" borderId="20" xfId="0" applyNumberFormat="1" applyFont="1" applyFill="1" applyBorder="1"/>
    <xf numFmtId="165" fontId="4" fillId="4" borderId="18" xfId="0" applyNumberFormat="1" applyFont="1" applyFill="1" applyBorder="1"/>
    <xf numFmtId="4" fontId="4" fillId="4" borderId="18" xfId="0" applyNumberFormat="1" applyFont="1" applyFill="1" applyBorder="1"/>
    <xf numFmtId="0" fontId="4" fillId="4" borderId="20" xfId="0" applyFont="1" applyFill="1" applyBorder="1"/>
    <xf numFmtId="4" fontId="4" fillId="4" borderId="17" xfId="0" applyNumberFormat="1" applyFont="1" applyFill="1" applyBorder="1"/>
    <xf numFmtId="0" fontId="6" fillId="0" borderId="14" xfId="0" applyFont="1" applyBorder="1"/>
    <xf numFmtId="4" fontId="6" fillId="0" borderId="15" xfId="0" applyNumberFormat="1" applyFont="1" applyBorder="1"/>
    <xf numFmtId="0" fontId="6" fillId="4" borderId="17" xfId="0" applyFont="1" applyFill="1" applyBorder="1"/>
    <xf numFmtId="0" fontId="6" fillId="4" borderId="18" xfId="0" applyFont="1" applyFill="1" applyBorder="1"/>
    <xf numFmtId="14" fontId="6" fillId="4" borderId="19" xfId="0" applyNumberFormat="1" applyFont="1" applyFill="1" applyBorder="1"/>
    <xf numFmtId="0" fontId="6" fillId="4" borderId="19" xfId="0" applyFont="1" applyFill="1" applyBorder="1"/>
    <xf numFmtId="4" fontId="6" fillId="4" borderId="19" xfId="0" applyNumberFormat="1" applyFont="1" applyFill="1" applyBorder="1"/>
    <xf numFmtId="165" fontId="6" fillId="4" borderId="19" xfId="0" applyNumberFormat="1" applyFont="1" applyFill="1" applyBorder="1"/>
    <xf numFmtId="14" fontId="6" fillId="4" borderId="20" xfId="0" applyNumberFormat="1" applyFont="1" applyFill="1" applyBorder="1"/>
    <xf numFmtId="165" fontId="6" fillId="4" borderId="18" xfId="0" applyNumberFormat="1" applyFont="1" applyFill="1" applyBorder="1"/>
    <xf numFmtId="4" fontId="6" fillId="4" borderId="18" xfId="0" applyNumberFormat="1" applyFont="1" applyFill="1" applyBorder="1"/>
    <xf numFmtId="4" fontId="6" fillId="4" borderId="17" xfId="0" applyNumberFormat="1" applyFont="1" applyFill="1" applyBorder="1"/>
    <xf numFmtId="0" fontId="6" fillId="4" borderId="9" xfId="0" applyFont="1" applyFill="1" applyBorder="1"/>
    <xf numFmtId="0" fontId="6" fillId="4" borderId="10" xfId="0" applyFont="1" applyFill="1" applyBorder="1"/>
    <xf numFmtId="14" fontId="6" fillId="4" borderId="11" xfId="0" applyNumberFormat="1" applyFont="1" applyFill="1" applyBorder="1"/>
    <xf numFmtId="0" fontId="6" fillId="4" borderId="11" xfId="0" applyFont="1" applyFill="1" applyBorder="1"/>
    <xf numFmtId="4" fontId="6" fillId="4" borderId="11" xfId="0" applyNumberFormat="1" applyFont="1" applyFill="1" applyBorder="1"/>
    <xf numFmtId="165" fontId="6" fillId="4" borderId="11" xfId="0" applyNumberFormat="1" applyFont="1" applyFill="1" applyBorder="1"/>
    <xf numFmtId="14" fontId="6" fillId="4" borderId="12" xfId="1" applyNumberFormat="1" applyFont="1" applyFill="1" applyBorder="1"/>
    <xf numFmtId="165" fontId="6" fillId="4" borderId="10" xfId="0" applyNumberFormat="1" applyFont="1" applyFill="1" applyBorder="1"/>
    <xf numFmtId="14" fontId="6" fillId="4" borderId="12" xfId="0" applyNumberFormat="1" applyFont="1" applyFill="1" applyBorder="1"/>
    <xf numFmtId="4" fontId="6" fillId="4" borderId="10" xfId="0" applyNumberFormat="1" applyFont="1" applyFill="1" applyBorder="1"/>
    <xf numFmtId="0" fontId="6" fillId="4" borderId="12" xfId="0" applyFont="1" applyFill="1" applyBorder="1"/>
    <xf numFmtId="4" fontId="6" fillId="4" borderId="9" xfId="0" applyNumberFormat="1" applyFont="1" applyFill="1" applyBorder="1"/>
    <xf numFmtId="14" fontId="2" fillId="0" borderId="26" xfId="0" applyNumberFormat="1" applyFont="1" applyBorder="1"/>
    <xf numFmtId="165" fontId="2" fillId="0" borderId="24" xfId="0" applyNumberFormat="1" applyFont="1" applyBorder="1"/>
    <xf numFmtId="164" fontId="4" fillId="0" borderId="0" xfId="1" applyFont="1" applyFill="1"/>
    <xf numFmtId="0" fontId="2" fillId="4" borderId="24" xfId="0" applyFont="1" applyFill="1" applyBorder="1"/>
    <xf numFmtId="0" fontId="2" fillId="4" borderId="26" xfId="0" applyFont="1" applyFill="1" applyBorder="1"/>
    <xf numFmtId="14" fontId="4" fillId="4" borderId="26" xfId="1" applyNumberFormat="1" applyFont="1" applyFill="1" applyBorder="1"/>
    <xf numFmtId="3" fontId="9" fillId="5" borderId="18" xfId="0" applyNumberFormat="1" applyFont="1" applyFill="1" applyBorder="1" applyAlignment="1">
      <alignment horizontal="center"/>
    </xf>
    <xf numFmtId="3" fontId="9" fillId="5" borderId="19" xfId="0" applyNumberFormat="1" applyFont="1" applyFill="1" applyBorder="1" applyAlignment="1">
      <alignment horizontal="center"/>
    </xf>
    <xf numFmtId="3" fontId="9" fillId="5" borderId="20" xfId="0" applyNumberFormat="1" applyFont="1" applyFill="1" applyBorder="1" applyAlignment="1">
      <alignment horizontal="center"/>
    </xf>
    <xf numFmtId="3" fontId="12" fillId="0" borderId="0" xfId="0" applyNumberFormat="1" applyFont="1"/>
    <xf numFmtId="0" fontId="12" fillId="0" borderId="0" xfId="0" applyFont="1"/>
    <xf numFmtId="3" fontId="18" fillId="0" borderId="0" xfId="0" applyNumberFormat="1" applyFont="1"/>
    <xf numFmtId="165" fontId="6" fillId="4" borderId="24" xfId="0" applyNumberFormat="1" applyFont="1" applyFill="1" applyBorder="1"/>
    <xf numFmtId="0" fontId="6" fillId="4" borderId="25" xfId="0" applyFont="1" applyFill="1" applyBorder="1"/>
    <xf numFmtId="14" fontId="6" fillId="4" borderId="26" xfId="0" applyNumberFormat="1" applyFont="1" applyFill="1" applyBorder="1"/>
    <xf numFmtId="0" fontId="6" fillId="0" borderId="15" xfId="0" applyFont="1" applyBorder="1"/>
    <xf numFmtId="14" fontId="2" fillId="0" borderId="0" xfId="0" applyNumberFormat="1" applyFont="1"/>
    <xf numFmtId="14" fontId="2" fillId="0" borderId="0" xfId="1" applyNumberFormat="1" applyFont="1"/>
    <xf numFmtId="3" fontId="18" fillId="0" borderId="11" xfId="0" applyNumberFormat="1" applyFont="1" applyBorder="1" applyAlignment="1">
      <alignment horizontal="right" indent="1"/>
    </xf>
    <xf numFmtId="4" fontId="6" fillId="0" borderId="0" xfId="0" applyNumberFormat="1" applyFont="1"/>
    <xf numFmtId="0" fontId="6" fillId="0" borderId="10" xfId="0" applyFont="1" applyBorder="1"/>
    <xf numFmtId="4" fontId="4" fillId="0" borderId="0" xfId="0" applyNumberFormat="1" applyFont="1"/>
    <xf numFmtId="3" fontId="9" fillId="0" borderId="40" xfId="0" applyNumberFormat="1" applyFont="1" applyBorder="1" applyAlignment="1">
      <alignment horizontal="right"/>
    </xf>
    <xf numFmtId="3" fontId="17" fillId="0" borderId="11" xfId="0" applyNumberFormat="1" applyFont="1" applyBorder="1"/>
    <xf numFmtId="4" fontId="2" fillId="0" borderId="23" xfId="0" applyNumberFormat="1" applyFont="1" applyBorder="1"/>
    <xf numFmtId="0" fontId="6" fillId="0" borderId="16" xfId="0" applyFont="1" applyBorder="1"/>
    <xf numFmtId="165" fontId="6" fillId="0" borderId="0" xfId="0" applyNumberFormat="1" applyFont="1"/>
    <xf numFmtId="165" fontId="4" fillId="0" borderId="6" xfId="0" applyNumberFormat="1" applyFont="1" applyBorder="1" applyAlignment="1">
      <alignment horizontal="center"/>
    </xf>
    <xf numFmtId="165" fontId="6" fillId="0" borderId="11" xfId="0" applyNumberFormat="1" applyFont="1" applyBorder="1"/>
    <xf numFmtId="165" fontId="4" fillId="0" borderId="30" xfId="0" applyNumberFormat="1" applyFont="1" applyBorder="1"/>
    <xf numFmtId="165" fontId="6" fillId="0" borderId="15" xfId="0" applyNumberFormat="1" applyFont="1" applyBorder="1"/>
    <xf numFmtId="165" fontId="4" fillId="0" borderId="0" xfId="0" applyNumberFormat="1" applyFont="1"/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11" xfId="0" applyFont="1" applyBorder="1"/>
    <xf numFmtId="4" fontId="6" fillId="0" borderId="11" xfId="0" applyNumberFormat="1" applyFont="1" applyBorder="1"/>
    <xf numFmtId="4" fontId="2" fillId="0" borderId="13" xfId="0" applyNumberFormat="1" applyFont="1" applyBorder="1"/>
    <xf numFmtId="4" fontId="3" fillId="0" borderId="0" xfId="0" applyNumberFormat="1" applyFont="1"/>
    <xf numFmtId="0" fontId="6" fillId="4" borderId="26" xfId="0" applyFont="1" applyFill="1" applyBorder="1"/>
    <xf numFmtId="0" fontId="6" fillId="0" borderId="24" xfId="0" applyFont="1" applyBorder="1"/>
    <xf numFmtId="165" fontId="6" fillId="0" borderId="25" xfId="0" applyNumberFormat="1" applyFont="1" applyBorder="1"/>
    <xf numFmtId="4" fontId="4" fillId="0" borderId="54" xfId="0" applyNumberFormat="1" applyFont="1" applyBorder="1"/>
    <xf numFmtId="3" fontId="19" fillId="0" borderId="11" xfId="0" applyNumberFormat="1" applyFont="1" applyBorder="1" applyAlignment="1">
      <alignment horizontal="right" indent="1"/>
    </xf>
    <xf numFmtId="0" fontId="6" fillId="4" borderId="23" xfId="0" applyFont="1" applyFill="1" applyBorder="1"/>
    <xf numFmtId="0" fontId="6" fillId="4" borderId="24" xfId="0" applyFont="1" applyFill="1" applyBorder="1"/>
    <xf numFmtId="14" fontId="6" fillId="4" borderId="25" xfId="0" applyNumberFormat="1" applyFont="1" applyFill="1" applyBorder="1"/>
    <xf numFmtId="4" fontId="6" fillId="4" borderId="25" xfId="0" applyNumberFormat="1" applyFont="1" applyFill="1" applyBorder="1"/>
    <xf numFmtId="165" fontId="6" fillId="4" borderId="25" xfId="0" applyNumberFormat="1" applyFont="1" applyFill="1" applyBorder="1"/>
    <xf numFmtId="14" fontId="6" fillId="4" borderId="26" xfId="1" applyNumberFormat="1" applyFont="1" applyFill="1" applyBorder="1"/>
    <xf numFmtId="4" fontId="6" fillId="4" borderId="24" xfId="0" applyNumberFormat="1" applyFont="1" applyFill="1" applyBorder="1"/>
    <xf numFmtId="4" fontId="6" fillId="4" borderId="23" xfId="0" applyNumberFormat="1" applyFont="1" applyFill="1" applyBorder="1"/>
    <xf numFmtId="167" fontId="9" fillId="5" borderId="39" xfId="0" applyNumberFormat="1" applyFont="1" applyFill="1" applyBorder="1" applyAlignment="1">
      <alignment horizontal="center"/>
    </xf>
    <xf numFmtId="3" fontId="10" fillId="0" borderId="46" xfId="0" applyNumberFormat="1" applyFont="1" applyBorder="1"/>
    <xf numFmtId="3" fontId="10" fillId="0" borderId="39" xfId="0" applyNumberFormat="1" applyFont="1" applyBorder="1"/>
    <xf numFmtId="3" fontId="9" fillId="0" borderId="39" xfId="0" applyNumberFormat="1" applyFont="1" applyBorder="1"/>
    <xf numFmtId="3" fontId="10" fillId="7" borderId="39" xfId="0" applyNumberFormat="1" applyFont="1" applyFill="1" applyBorder="1"/>
    <xf numFmtId="3" fontId="10" fillId="0" borderId="10" xfId="0" applyNumberFormat="1" applyFont="1" applyBorder="1"/>
    <xf numFmtId="3" fontId="10" fillId="7" borderId="10" xfId="0" applyNumberFormat="1" applyFont="1" applyFill="1" applyBorder="1"/>
    <xf numFmtId="3" fontId="9" fillId="0" borderId="39" xfId="0" applyNumberFormat="1" applyFont="1" applyBorder="1" applyAlignment="1">
      <alignment horizontal="right"/>
    </xf>
    <xf numFmtId="3" fontId="10" fillId="0" borderId="39" xfId="0" applyNumberFormat="1" applyFont="1" applyBorder="1" applyAlignment="1">
      <alignment horizontal="right" indent="1"/>
    </xf>
    <xf numFmtId="167" fontId="13" fillId="4" borderId="41" xfId="0" applyNumberFormat="1" applyFont="1" applyFill="1" applyBorder="1"/>
    <xf numFmtId="3" fontId="10" fillId="0" borderId="40" xfId="0" applyNumberFormat="1" applyFont="1" applyBorder="1"/>
    <xf numFmtId="3" fontId="9" fillId="0" borderId="40" xfId="0" applyNumberFormat="1" applyFont="1" applyBorder="1"/>
    <xf numFmtId="3" fontId="10" fillId="7" borderId="40" xfId="0" applyNumberFormat="1" applyFont="1" applyFill="1" applyBorder="1"/>
    <xf numFmtId="3" fontId="10" fillId="0" borderId="40" xfId="0" applyNumberFormat="1" applyFont="1" applyBorder="1" applyAlignment="1">
      <alignment horizontal="right" indent="1"/>
    </xf>
    <xf numFmtId="167" fontId="9" fillId="5" borderId="40" xfId="0" applyNumberFormat="1" applyFont="1" applyFill="1" applyBorder="1" applyAlignment="1">
      <alignment horizontal="center"/>
    </xf>
    <xf numFmtId="167" fontId="13" fillId="4" borderId="42" xfId="0" applyNumberFormat="1" applyFont="1" applyFill="1" applyBorder="1"/>
    <xf numFmtId="3" fontId="19" fillId="0" borderId="12" xfId="0" applyNumberFormat="1" applyFont="1" applyBorder="1" applyAlignment="1">
      <alignment horizontal="right" indent="1"/>
    </xf>
    <xf numFmtId="0" fontId="6" fillId="0" borderId="18" xfId="0" applyFont="1" applyBorder="1"/>
    <xf numFmtId="4" fontId="6" fillId="0" borderId="19" xfId="0" applyNumberFormat="1" applyFont="1" applyBorder="1"/>
    <xf numFmtId="165" fontId="6" fillId="0" borderId="19" xfId="0" applyNumberFormat="1" applyFont="1" applyBorder="1"/>
    <xf numFmtId="164" fontId="6" fillId="0" borderId="0" xfId="1" applyFont="1"/>
    <xf numFmtId="0" fontId="6" fillId="0" borderId="23" xfId="0" applyFont="1" applyBorder="1"/>
    <xf numFmtId="14" fontId="6" fillId="0" borderId="25" xfId="0" applyNumberFormat="1" applyFont="1" applyBorder="1"/>
    <xf numFmtId="0" fontId="6" fillId="0" borderId="25" xfId="0" applyFont="1" applyBorder="1"/>
    <xf numFmtId="4" fontId="6" fillId="0" borderId="25" xfId="0" applyNumberFormat="1" applyFont="1" applyBorder="1"/>
    <xf numFmtId="14" fontId="6" fillId="0" borderId="26" xfId="0" applyNumberFormat="1" applyFont="1" applyBorder="1"/>
    <xf numFmtId="165" fontId="6" fillId="0" borderId="24" xfId="0" applyNumberFormat="1" applyFont="1" applyBorder="1"/>
    <xf numFmtId="4" fontId="6" fillId="0" borderId="24" xfId="0" applyNumberFormat="1" applyFont="1" applyBorder="1"/>
    <xf numFmtId="0" fontId="6" fillId="0" borderId="26" xfId="0" applyFont="1" applyBorder="1"/>
    <xf numFmtId="4" fontId="6" fillId="0" borderId="23" xfId="0" applyNumberFormat="1" applyFont="1" applyBorder="1"/>
    <xf numFmtId="4" fontId="6" fillId="0" borderId="20" xfId="0" applyNumberFormat="1" applyFont="1" applyBorder="1"/>
    <xf numFmtId="4" fontId="6" fillId="0" borderId="12" xfId="0" applyNumberFormat="1" applyFont="1" applyBorder="1"/>
    <xf numFmtId="3" fontId="12" fillId="0" borderId="11" xfId="0" applyNumberFormat="1" applyFont="1" applyBorder="1"/>
    <xf numFmtId="3" fontId="12" fillId="0" borderId="39" xfId="0" applyNumberFormat="1" applyFont="1" applyBorder="1"/>
    <xf numFmtId="9" fontId="6" fillId="0" borderId="19" xfId="0" applyNumberFormat="1" applyFont="1" applyBorder="1"/>
    <xf numFmtId="9" fontId="6" fillId="0" borderId="11" xfId="0" applyNumberFormat="1" applyFont="1" applyBorder="1"/>
    <xf numFmtId="170" fontId="6" fillId="0" borderId="20" xfId="0" applyNumberFormat="1" applyFont="1" applyBorder="1"/>
    <xf numFmtId="170" fontId="6" fillId="0" borderId="12" xfId="0" applyNumberFormat="1" applyFont="1" applyBorder="1"/>
    <xf numFmtId="169" fontId="6" fillId="0" borderId="0" xfId="0" applyNumberFormat="1" applyFont="1" applyAlignment="1">
      <alignment horizontal="center"/>
    </xf>
    <xf numFmtId="3" fontId="17" fillId="7" borderId="14" xfId="0" applyNumberFormat="1" applyFont="1" applyFill="1" applyBorder="1"/>
    <xf numFmtId="3" fontId="17" fillId="7" borderId="15" xfId="0" applyNumberFormat="1" applyFont="1" applyFill="1" applyBorder="1"/>
    <xf numFmtId="3" fontId="17" fillId="7" borderId="16" xfId="0" applyNumberFormat="1" applyFont="1" applyFill="1" applyBorder="1"/>
    <xf numFmtId="3" fontId="15" fillId="6" borderId="60" xfId="0" applyNumberFormat="1" applyFont="1" applyFill="1" applyBorder="1" applyAlignment="1">
      <alignment horizontal="center"/>
    </xf>
    <xf numFmtId="3" fontId="15" fillId="6" borderId="61" xfId="0" applyNumberFormat="1" applyFont="1" applyFill="1" applyBorder="1" applyAlignment="1">
      <alignment horizontal="center"/>
    </xf>
    <xf numFmtId="3" fontId="9" fillId="0" borderId="1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20" xfId="0" applyNumberFormat="1" applyFont="1" applyBorder="1" applyAlignment="1">
      <alignment horizontal="right"/>
    </xf>
    <xf numFmtId="3" fontId="18" fillId="0" borderId="10" xfId="0" applyNumberFormat="1" applyFont="1" applyBorder="1" applyAlignment="1">
      <alignment horizontal="right" indent="1"/>
    </xf>
    <xf numFmtId="3" fontId="18" fillId="0" borderId="11" xfId="0" applyNumberFormat="1" applyFont="1" applyBorder="1"/>
    <xf numFmtId="3" fontId="17" fillId="0" borderId="11" xfId="0" applyNumberFormat="1" applyFont="1" applyBorder="1" applyAlignment="1">
      <alignment horizontal="right" indent="1"/>
    </xf>
    <xf numFmtId="4" fontId="10" fillId="0" borderId="0" xfId="0" applyNumberFormat="1" applyFont="1"/>
    <xf numFmtId="0" fontId="6" fillId="0" borderId="0" xfId="0" applyFont="1" applyAlignment="1">
      <alignment horizontal="center"/>
    </xf>
    <xf numFmtId="164" fontId="4" fillId="0" borderId="0" xfId="1" applyFont="1"/>
    <xf numFmtId="3" fontId="17" fillId="0" borderId="39" xfId="0" applyNumberFormat="1" applyFont="1" applyBorder="1"/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3" fontId="10" fillId="0" borderId="28" xfId="0" applyNumberFormat="1" applyFont="1" applyBorder="1"/>
    <xf numFmtId="3" fontId="10" fillId="0" borderId="29" xfId="0" applyNumberFormat="1" applyFont="1" applyBorder="1"/>
    <xf numFmtId="3" fontId="10" fillId="0" borderId="47" xfId="0" applyNumberFormat="1" applyFont="1" applyBorder="1"/>
    <xf numFmtId="3" fontId="9" fillId="5" borderId="17" xfId="0" applyNumberFormat="1" applyFont="1" applyFill="1" applyBorder="1" applyAlignment="1">
      <alignment horizontal="center"/>
    </xf>
    <xf numFmtId="172" fontId="6" fillId="0" borderId="0" xfId="5" applyNumberFormat="1" applyFont="1"/>
    <xf numFmtId="3" fontId="9" fillId="0" borderId="29" xfId="0" applyNumberFormat="1" applyFont="1" applyBorder="1" applyAlignment="1">
      <alignment horizontal="right"/>
    </xf>
    <xf numFmtId="3" fontId="15" fillId="6" borderId="5" xfId="0" applyNumberFormat="1" applyFont="1" applyFill="1" applyBorder="1" applyAlignment="1">
      <alignment horizontal="center"/>
    </xf>
    <xf numFmtId="3" fontId="15" fillId="6" borderId="7" xfId="0" applyNumberFormat="1" applyFont="1" applyFill="1" applyBorder="1" applyAlignment="1">
      <alignment horizontal="center"/>
    </xf>
    <xf numFmtId="3" fontId="17" fillId="7" borderId="62" xfId="0" applyNumberFormat="1" applyFont="1" applyFill="1" applyBorder="1"/>
    <xf numFmtId="3" fontId="17" fillId="7" borderId="26" xfId="0" applyNumberFormat="1" applyFont="1" applyFill="1" applyBorder="1"/>
    <xf numFmtId="3" fontId="9" fillId="0" borderId="47" xfId="0" applyNumberFormat="1" applyFont="1" applyBorder="1" applyAlignment="1">
      <alignment horizontal="right"/>
    </xf>
    <xf numFmtId="3" fontId="15" fillId="6" borderId="6" xfId="0" applyNumberFormat="1" applyFont="1" applyFill="1" applyBorder="1" applyAlignment="1">
      <alignment horizontal="center"/>
    </xf>
    <xf numFmtId="3" fontId="15" fillId="6" borderId="27" xfId="0" applyNumberFormat="1" applyFont="1" applyFill="1" applyBorder="1" applyAlignment="1">
      <alignment horizontal="center"/>
    </xf>
    <xf numFmtId="3" fontId="15" fillId="6" borderId="63" xfId="0" applyNumberFormat="1" applyFont="1" applyFill="1" applyBorder="1" applyAlignment="1">
      <alignment horizontal="center"/>
    </xf>
    <xf numFmtId="3" fontId="13" fillId="7" borderId="24" xfId="0" applyNumberFormat="1" applyFont="1" applyFill="1" applyBorder="1" applyAlignment="1">
      <alignment horizontal="center"/>
    </xf>
    <xf numFmtId="3" fontId="17" fillId="7" borderId="25" xfId="0" applyNumberFormat="1" applyFont="1" applyFill="1" applyBorder="1"/>
    <xf numFmtId="3" fontId="17" fillId="7" borderId="55" xfId="0" applyNumberFormat="1" applyFont="1" applyFill="1" applyBorder="1"/>
    <xf numFmtId="3" fontId="9" fillId="0" borderId="28" xfId="0" applyNumberFormat="1" applyFont="1" applyBorder="1" applyAlignment="1">
      <alignment horizontal="right"/>
    </xf>
    <xf numFmtId="3" fontId="9" fillId="0" borderId="38" xfId="0" applyNumberFormat="1" applyFont="1" applyBorder="1" applyAlignment="1">
      <alignment horizontal="right"/>
    </xf>
    <xf numFmtId="3" fontId="9" fillId="0" borderId="46" xfId="0" applyNumberFormat="1" applyFont="1" applyBorder="1" applyAlignment="1">
      <alignment horizontal="right"/>
    </xf>
    <xf numFmtId="3" fontId="10" fillId="0" borderId="18" xfId="0" applyNumberFormat="1" applyFont="1" applyBorder="1"/>
    <xf numFmtId="3" fontId="10" fillId="0" borderId="20" xfId="0" applyNumberFormat="1" applyFont="1" applyBorder="1"/>
    <xf numFmtId="3" fontId="13" fillId="7" borderId="64" xfId="0" applyNumberFormat="1" applyFont="1" applyFill="1" applyBorder="1" applyAlignment="1">
      <alignment horizontal="center"/>
    </xf>
    <xf numFmtId="3" fontId="9" fillId="0" borderId="37" xfId="0" applyNumberFormat="1" applyFont="1" applyBorder="1" applyAlignment="1">
      <alignment horizontal="right"/>
    </xf>
    <xf numFmtId="0" fontId="6" fillId="0" borderId="5" xfId="0" applyFont="1" applyBorder="1"/>
    <xf numFmtId="0" fontId="6" fillId="0" borderId="6" xfId="0" applyFont="1" applyBorder="1"/>
    <xf numFmtId="4" fontId="6" fillId="0" borderId="6" xfId="0" applyNumberFormat="1" applyFont="1" applyBorder="1"/>
    <xf numFmtId="165" fontId="6" fillId="0" borderId="6" xfId="0" applyNumberFormat="1" applyFont="1" applyBorder="1"/>
    <xf numFmtId="14" fontId="6" fillId="0" borderId="6" xfId="0" applyNumberFormat="1" applyFont="1" applyBorder="1"/>
    <xf numFmtId="164" fontId="6" fillId="0" borderId="0" xfId="1" applyFont="1" applyFill="1"/>
    <xf numFmtId="0" fontId="2" fillId="4" borderId="10" xfId="0" applyFont="1" applyFill="1" applyBorder="1"/>
    <xf numFmtId="0" fontId="2" fillId="4" borderId="12" xfId="0" applyFont="1" applyFill="1" applyBorder="1"/>
    <xf numFmtId="14" fontId="6" fillId="0" borderId="19" xfId="0" applyNumberFormat="1" applyFont="1" applyBorder="1"/>
    <xf numFmtId="14" fontId="6" fillId="0" borderId="15" xfId="0" applyNumberFormat="1" applyFont="1" applyBorder="1"/>
    <xf numFmtId="14" fontId="6" fillId="0" borderId="16" xfId="0" applyNumberFormat="1" applyFont="1" applyBorder="1" applyAlignment="1">
      <alignment horizontal="right"/>
    </xf>
    <xf numFmtId="3" fontId="18" fillId="0" borderId="10" xfId="0" applyNumberFormat="1" applyFont="1" applyBorder="1"/>
    <xf numFmtId="3" fontId="18" fillId="0" borderId="39" xfId="0" applyNumberFormat="1" applyFont="1" applyBorder="1" applyAlignment="1">
      <alignment horizontal="right" indent="1"/>
    </xf>
    <xf numFmtId="0" fontId="2" fillId="0" borderId="18" xfId="0" applyFont="1" applyBorder="1"/>
    <xf numFmtId="0" fontId="2" fillId="0" borderId="10" xfId="0" applyFont="1" applyBorder="1"/>
    <xf numFmtId="0" fontId="2" fillId="0" borderId="20" xfId="0" applyFont="1" applyBorder="1"/>
    <xf numFmtId="0" fontId="2" fillId="0" borderId="12" xfId="0" applyFont="1" applyBorder="1"/>
    <xf numFmtId="0" fontId="6" fillId="0" borderId="19" xfId="0" applyFont="1" applyBorder="1" applyAlignment="1">
      <alignment horizontal="center"/>
    </xf>
    <xf numFmtId="165" fontId="6" fillId="0" borderId="20" xfId="0" applyNumberFormat="1" applyFont="1" applyBorder="1"/>
    <xf numFmtId="0" fontId="6" fillId="0" borderId="11" xfId="0" applyFont="1" applyBorder="1" applyAlignment="1">
      <alignment horizontal="center"/>
    </xf>
    <xf numFmtId="165" fontId="6" fillId="0" borderId="12" xfId="0" applyNumberFormat="1" applyFont="1" applyBorder="1"/>
    <xf numFmtId="165" fontId="4" fillId="0" borderId="11" xfId="0" applyNumberFormat="1" applyFont="1" applyBorder="1"/>
    <xf numFmtId="165" fontId="4" fillId="0" borderId="12" xfId="0" applyNumberFormat="1" applyFont="1" applyBorder="1"/>
    <xf numFmtId="165" fontId="4" fillId="0" borderId="16" xfId="0" applyNumberFormat="1" applyFont="1" applyBorder="1"/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1" fillId="8" borderId="6" xfId="0" applyFont="1" applyFill="1" applyBorder="1" applyAlignment="1">
      <alignment horizontal="right"/>
    </xf>
    <xf numFmtId="3" fontId="11" fillId="8" borderId="6" xfId="0" applyNumberFormat="1" applyFont="1" applyFill="1" applyBorder="1" applyAlignment="1">
      <alignment horizontal="center"/>
    </xf>
    <xf numFmtId="14" fontId="11" fillId="8" borderId="6" xfId="0" applyNumberFormat="1" applyFont="1" applyFill="1" applyBorder="1" applyAlignment="1">
      <alignment horizontal="center"/>
    </xf>
    <xf numFmtId="14" fontId="11" fillId="8" borderId="7" xfId="0" applyNumberFormat="1" applyFont="1" applyFill="1" applyBorder="1" applyAlignment="1">
      <alignment horizontal="center"/>
    </xf>
    <xf numFmtId="3" fontId="5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3" fontId="2" fillId="0" borderId="0" xfId="0" applyNumberFormat="1" applyFont="1"/>
    <xf numFmtId="3" fontId="20" fillId="0" borderId="49" xfId="0" applyNumberFormat="1" applyFont="1" applyBorder="1" applyAlignment="1">
      <alignment horizontal="right"/>
    </xf>
    <xf numFmtId="0" fontId="20" fillId="0" borderId="32" xfId="0" applyFont="1" applyBorder="1"/>
    <xf numFmtId="0" fontId="20" fillId="0" borderId="0" xfId="0" applyFont="1"/>
    <xf numFmtId="3" fontId="2" fillId="0" borderId="0" xfId="0" applyNumberFormat="1" applyFont="1" applyAlignment="1">
      <alignment horizontal="right"/>
    </xf>
    <xf numFmtId="3" fontId="5" fillId="9" borderId="49" xfId="0" applyNumberFormat="1" applyFont="1" applyFill="1" applyBorder="1" applyAlignment="1">
      <alignment horizontal="right"/>
    </xf>
    <xf numFmtId="14" fontId="2" fillId="9" borderId="6" xfId="0" applyNumberFormat="1" applyFont="1" applyFill="1" applyBorder="1" applyAlignment="1">
      <alignment horizontal="right"/>
    </xf>
    <xf numFmtId="3" fontId="2" fillId="0" borderId="50" xfId="0" applyNumberFormat="1" applyFont="1" applyBorder="1"/>
    <xf numFmtId="14" fontId="6" fillId="0" borderId="18" xfId="0" applyNumberFormat="1" applyFont="1" applyBorder="1" applyAlignment="1">
      <alignment horizontal="right"/>
    </xf>
    <xf numFmtId="3" fontId="6" fillId="0" borderId="19" xfId="0" applyNumberFormat="1" applyFont="1" applyBorder="1" applyAlignment="1">
      <alignment horizontal="right"/>
    </xf>
    <xf numFmtId="3" fontId="2" fillId="0" borderId="20" xfId="0" applyNumberFormat="1" applyFont="1" applyBorder="1"/>
    <xf numFmtId="165" fontId="2" fillId="0" borderId="0" xfId="0" applyNumberFormat="1" applyFont="1" applyAlignment="1">
      <alignment horizontal="right"/>
    </xf>
    <xf numFmtId="3" fontId="2" fillId="0" borderId="39" xfId="0" applyNumberFormat="1" applyFont="1" applyBorder="1"/>
    <xf numFmtId="14" fontId="6" fillId="0" borderId="10" xfId="0" applyNumberFormat="1" applyFont="1" applyBorder="1" applyAlignment="1">
      <alignment horizontal="right"/>
    </xf>
    <xf numFmtId="3" fontId="6" fillId="0" borderId="11" xfId="0" applyNumberFormat="1" applyFont="1" applyBorder="1" applyAlignment="1">
      <alignment horizontal="right"/>
    </xf>
    <xf numFmtId="3" fontId="2" fillId="0" borderId="12" xfId="0" applyNumberFormat="1" applyFont="1" applyBorder="1"/>
    <xf numFmtId="3" fontId="2" fillId="0" borderId="55" xfId="0" applyNumberFormat="1" applyFont="1" applyBorder="1"/>
    <xf numFmtId="3" fontId="6" fillId="0" borderId="25" xfId="0" applyNumberFormat="1" applyFont="1" applyBorder="1" applyAlignment="1">
      <alignment horizontal="right"/>
    </xf>
    <xf numFmtId="14" fontId="6" fillId="0" borderId="24" xfId="0" applyNumberFormat="1" applyFont="1" applyBorder="1" applyAlignment="1">
      <alignment horizontal="right"/>
    </xf>
    <xf numFmtId="3" fontId="2" fillId="0" borderId="26" xfId="0" applyNumberFormat="1" applyFont="1" applyBorder="1"/>
    <xf numFmtId="3" fontId="5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9" borderId="49" xfId="0" applyNumberFormat="1" applyFont="1" applyFill="1" applyBorder="1" applyAlignment="1">
      <alignment horizontal="right"/>
    </xf>
    <xf numFmtId="14" fontId="6" fillId="0" borderId="11" xfId="0" applyNumberFormat="1" applyFont="1" applyBorder="1"/>
    <xf numFmtId="4" fontId="6" fillId="0" borderId="7" xfId="0" applyNumberFormat="1" applyFont="1" applyBorder="1"/>
    <xf numFmtId="0" fontId="17" fillId="3" borderId="9" xfId="0" applyFont="1" applyFill="1" applyBorder="1"/>
    <xf numFmtId="0" fontId="17" fillId="0" borderId="0" xfId="0" applyFont="1"/>
    <xf numFmtId="3" fontId="17" fillId="0" borderId="0" xfId="0" applyNumberFormat="1" applyFont="1"/>
    <xf numFmtId="3" fontId="9" fillId="0" borderId="12" xfId="0" applyNumberFormat="1" applyFont="1" applyBorder="1" applyAlignment="1">
      <alignment horizontal="right" indent="1"/>
    </xf>
    <xf numFmtId="168" fontId="6" fillId="0" borderId="0" xfId="0" applyNumberFormat="1" applyFont="1"/>
    <xf numFmtId="173" fontId="6" fillId="0" borderId="0" xfId="0" applyNumberFormat="1" applyFont="1"/>
    <xf numFmtId="0" fontId="6" fillId="0" borderId="21" xfId="0" applyFont="1" applyBorder="1"/>
    <xf numFmtId="0" fontId="6" fillId="0" borderId="21" xfId="0" applyFont="1" applyBorder="1" applyAlignment="1">
      <alignment horizontal="center"/>
    </xf>
    <xf numFmtId="4" fontId="6" fillId="0" borderId="21" xfId="0" applyNumberFormat="1" applyFont="1" applyBorder="1"/>
    <xf numFmtId="165" fontId="6" fillId="0" borderId="21" xfId="0" applyNumberFormat="1" applyFont="1" applyBorder="1"/>
    <xf numFmtId="169" fontId="6" fillId="0" borderId="35" xfId="0" applyNumberFormat="1" applyFont="1" applyBorder="1" applyAlignment="1">
      <alignment horizontal="right"/>
    </xf>
    <xf numFmtId="169" fontId="6" fillId="0" borderId="32" xfId="0" applyNumberFormat="1" applyFont="1" applyBorder="1" applyAlignment="1">
      <alignment horizontal="center" vertical="center"/>
    </xf>
    <xf numFmtId="165" fontId="6" fillId="0" borderId="58" xfId="0" applyNumberFormat="1" applyFont="1" applyBorder="1" applyAlignment="1">
      <alignment vertical="center"/>
    </xf>
    <xf numFmtId="169" fontId="6" fillId="0" borderId="35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4" fontId="6" fillId="0" borderId="21" xfId="0" applyNumberFormat="1" applyFont="1" applyBorder="1" applyAlignment="1">
      <alignment vertical="center"/>
    </xf>
    <xf numFmtId="165" fontId="6" fillId="0" borderId="21" xfId="0" applyNumberFormat="1" applyFont="1" applyBorder="1" applyAlignment="1">
      <alignment vertical="center"/>
    </xf>
    <xf numFmtId="165" fontId="6" fillId="0" borderId="34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/>
    </xf>
    <xf numFmtId="4" fontId="4" fillId="0" borderId="31" xfId="0" applyNumberFormat="1" applyFont="1" applyBorder="1"/>
    <xf numFmtId="165" fontId="5" fillId="0" borderId="0" xfId="0" applyNumberFormat="1" applyFont="1"/>
    <xf numFmtId="0" fontId="4" fillId="0" borderId="52" xfId="0" applyFont="1" applyBorder="1" applyAlignment="1">
      <alignment horizontal="center"/>
    </xf>
    <xf numFmtId="0" fontId="4" fillId="0" borderId="53" xfId="0" applyFont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166" fontId="4" fillId="2" borderId="27" xfId="0" applyNumberFormat="1" applyFont="1" applyFill="1" applyBorder="1" applyAlignment="1">
      <alignment horizontal="center"/>
    </xf>
    <xf numFmtId="11" fontId="5" fillId="0" borderId="27" xfId="0" applyNumberFormat="1" applyFont="1" applyBorder="1" applyAlignment="1">
      <alignment horizontal="center"/>
    </xf>
    <xf numFmtId="0" fontId="5" fillId="0" borderId="67" xfId="0" applyFont="1" applyBorder="1"/>
    <xf numFmtId="4" fontId="5" fillId="0" borderId="45" xfId="0" applyNumberFormat="1" applyFont="1" applyBorder="1"/>
    <xf numFmtId="0" fontId="5" fillId="0" borderId="65" xfId="0" applyFont="1" applyBorder="1"/>
    <xf numFmtId="4" fontId="5" fillId="0" borderId="9" xfId="0" applyNumberFormat="1" applyFont="1" applyBorder="1"/>
    <xf numFmtId="0" fontId="5" fillId="0" borderId="68" xfId="0" applyFont="1" applyBorder="1"/>
    <xf numFmtId="4" fontId="5" fillId="0" borderId="23" xfId="0" applyNumberFormat="1" applyFont="1" applyBorder="1"/>
    <xf numFmtId="4" fontId="5" fillId="0" borderId="27" xfId="0" applyNumberFormat="1" applyFont="1" applyBorder="1"/>
    <xf numFmtId="49" fontId="0" fillId="0" borderId="0" xfId="0" applyNumberFormat="1"/>
    <xf numFmtId="0" fontId="22" fillId="6" borderId="0" xfId="6" applyFont="1" applyFill="1" applyAlignment="1">
      <alignment horizontal="center"/>
    </xf>
    <xf numFmtId="49" fontId="22" fillId="6" borderId="0" xfId="6" applyNumberFormat="1" applyFont="1" applyFill="1" applyAlignment="1">
      <alignment horizontal="center"/>
    </xf>
    <xf numFmtId="14" fontId="22" fillId="6" borderId="0" xfId="6" applyNumberFormat="1" applyFont="1" applyFill="1" applyAlignment="1">
      <alignment horizontal="center"/>
    </xf>
    <xf numFmtId="165" fontId="22" fillId="6" borderId="0" xfId="6" applyNumberFormat="1" applyFont="1" applyFill="1" applyAlignment="1">
      <alignment horizontal="center"/>
    </xf>
    <xf numFmtId="49" fontId="23" fillId="6" borderId="0" xfId="6" applyNumberFormat="1" applyFont="1" applyFill="1" applyAlignment="1">
      <alignment horizontal="center"/>
    </xf>
    <xf numFmtId="0" fontId="24" fillId="0" borderId="0" xfId="0" applyFont="1"/>
    <xf numFmtId="0" fontId="25" fillId="0" borderId="0" xfId="0" applyFont="1"/>
    <xf numFmtId="165" fontId="22" fillId="6" borderId="0" xfId="6" applyNumberFormat="1" applyFont="1" applyFill="1" applyAlignment="1">
      <alignment horizontal="right"/>
    </xf>
    <xf numFmtId="0" fontId="21" fillId="6" borderId="0" xfId="0" applyFont="1" applyFill="1"/>
    <xf numFmtId="0" fontId="0" fillId="4" borderId="0" xfId="0" applyFill="1"/>
    <xf numFmtId="0" fontId="21" fillId="0" borderId="0" xfId="0" applyFont="1"/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165" fontId="16" fillId="0" borderId="7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3" fontId="18" fillId="0" borderId="10" xfId="0" applyNumberFormat="1" applyFont="1" applyBorder="1" applyAlignment="1">
      <alignment horizontal="center"/>
    </xf>
    <xf numFmtId="0" fontId="15" fillId="6" borderId="9" xfId="0" applyFont="1" applyFill="1" applyBorder="1"/>
    <xf numFmtId="0" fontId="10" fillId="0" borderId="9" xfId="0" applyFont="1" applyBorder="1"/>
    <xf numFmtId="3" fontId="13" fillId="3" borderId="10" xfId="0" applyNumberFormat="1" applyFont="1" applyFill="1" applyBorder="1"/>
    <xf numFmtId="3" fontId="13" fillId="3" borderId="36" xfId="0" applyNumberFormat="1" applyFont="1" applyFill="1" applyBorder="1"/>
    <xf numFmtId="3" fontId="13" fillId="3" borderId="11" xfId="0" applyNumberFormat="1" applyFont="1" applyFill="1" applyBorder="1"/>
    <xf numFmtId="3" fontId="13" fillId="3" borderId="12" xfId="0" applyNumberFormat="1" applyFont="1" applyFill="1" applyBorder="1"/>
    <xf numFmtId="3" fontId="13" fillId="3" borderId="40" xfId="0" applyNumberFormat="1" applyFont="1" applyFill="1" applyBorder="1"/>
    <xf numFmtId="0" fontId="10" fillId="0" borderId="9" xfId="0" applyFont="1" applyBorder="1" applyAlignment="1">
      <alignment horizontal="left" indent="2"/>
    </xf>
    <xf numFmtId="0" fontId="17" fillId="7" borderId="9" xfId="0" applyFont="1" applyFill="1" applyBorder="1"/>
    <xf numFmtId="0" fontId="10" fillId="0" borderId="9" xfId="0" applyFont="1" applyBorder="1" applyAlignment="1">
      <alignment horizontal="left" indent="1"/>
    </xf>
    <xf numFmtId="3" fontId="9" fillId="0" borderId="10" xfId="0" applyNumberFormat="1" applyFont="1" applyBorder="1" applyAlignment="1">
      <alignment horizontal="right" indent="1"/>
    </xf>
    <xf numFmtId="3" fontId="9" fillId="0" borderId="36" xfId="0" applyNumberFormat="1" applyFont="1" applyBorder="1" applyAlignment="1">
      <alignment horizontal="right" indent="1"/>
    </xf>
    <xf numFmtId="3" fontId="17" fillId="0" borderId="39" xfId="0" applyNumberFormat="1" applyFont="1" applyBorder="1" applyAlignment="1">
      <alignment horizontal="right" indent="1"/>
    </xf>
    <xf numFmtId="0" fontId="9" fillId="0" borderId="9" xfId="0" applyFont="1" applyBorder="1" applyAlignment="1">
      <alignment horizontal="left" indent="1"/>
    </xf>
    <xf numFmtId="3" fontId="9" fillId="0" borderId="11" xfId="0" applyNumberFormat="1" applyFont="1" applyBorder="1" applyAlignment="1">
      <alignment horizontal="right" indent="1"/>
    </xf>
    <xf numFmtId="3" fontId="9" fillId="0" borderId="39" xfId="0" applyNumberFormat="1" applyFont="1" applyBorder="1" applyAlignment="1">
      <alignment horizontal="right" indent="1"/>
    </xf>
    <xf numFmtId="3" fontId="9" fillId="0" borderId="40" xfId="0" applyNumberFormat="1" applyFont="1" applyBorder="1" applyAlignment="1">
      <alignment horizontal="right" indent="1"/>
    </xf>
    <xf numFmtId="167" fontId="13" fillId="4" borderId="13" xfId="0" applyNumberFormat="1" applyFont="1" applyFill="1" applyBorder="1"/>
    <xf numFmtId="0" fontId="18" fillId="0" borderId="0" xfId="0" applyFont="1"/>
    <xf numFmtId="165" fontId="4" fillId="0" borderId="0" xfId="0" applyNumberFormat="1" applyFont="1" applyAlignment="1">
      <alignment vertical="center"/>
    </xf>
    <xf numFmtId="169" fontId="6" fillId="0" borderId="3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6" fillId="0" borderId="31" xfId="0" applyFont="1" applyBorder="1" applyAlignment="1">
      <alignment horizontal="center" vertical="center"/>
    </xf>
    <xf numFmtId="4" fontId="6" fillId="0" borderId="31" xfId="0" applyNumberFormat="1" applyFont="1" applyBorder="1" applyAlignment="1">
      <alignment vertical="center"/>
    </xf>
    <xf numFmtId="165" fontId="6" fillId="0" borderId="31" xfId="0" applyNumberFormat="1" applyFont="1" applyBorder="1" applyAlignment="1">
      <alignment vertical="center"/>
    </xf>
    <xf numFmtId="165" fontId="6" fillId="0" borderId="57" xfId="0" applyNumberFormat="1" applyFont="1" applyBorder="1" applyAlignment="1">
      <alignment vertical="center"/>
    </xf>
    <xf numFmtId="169" fontId="6" fillId="0" borderId="0" xfId="0" applyNumberFormat="1" applyFont="1" applyAlignment="1">
      <alignment vertical="center"/>
    </xf>
    <xf numFmtId="169" fontId="6" fillId="0" borderId="0" xfId="0" applyNumberFormat="1" applyFont="1" applyAlignment="1">
      <alignment horizontal="right"/>
    </xf>
    <xf numFmtId="169" fontId="4" fillId="0" borderId="0" xfId="0" applyNumberFormat="1" applyFont="1" applyAlignment="1">
      <alignment horizontal="center" vertical="center"/>
    </xf>
    <xf numFmtId="165" fontId="4" fillId="0" borderId="33" xfId="0" applyNumberFormat="1" applyFont="1" applyBorder="1"/>
    <xf numFmtId="165" fontId="6" fillId="0" borderId="34" xfId="0" applyNumberFormat="1" applyFont="1" applyBorder="1"/>
    <xf numFmtId="4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4" fillId="0" borderId="6" xfId="0" applyFont="1" applyBorder="1" applyAlignment="1">
      <alignment horizontal="center"/>
    </xf>
    <xf numFmtId="169" fontId="4" fillId="0" borderId="5" xfId="0" applyNumberFormat="1" applyFont="1" applyBorder="1" applyAlignment="1">
      <alignment horizontal="right"/>
    </xf>
    <xf numFmtId="169" fontId="4" fillId="0" borderId="6" xfId="0" applyNumberFormat="1" applyFont="1" applyBorder="1" applyAlignment="1">
      <alignment horizontal="center" vertical="center"/>
    </xf>
    <xf numFmtId="0" fontId="4" fillId="0" borderId="6" xfId="0" applyFont="1" applyBorder="1"/>
    <xf numFmtId="4" fontId="4" fillId="0" borderId="6" xfId="0" applyNumberFormat="1" applyFont="1" applyBorder="1"/>
    <xf numFmtId="165" fontId="4" fillId="0" borderId="6" xfId="0" applyNumberFormat="1" applyFont="1" applyBorder="1"/>
    <xf numFmtId="165" fontId="4" fillId="0" borderId="7" xfId="0" applyNumberFormat="1" applyFont="1" applyBorder="1"/>
    <xf numFmtId="165" fontId="16" fillId="0" borderId="5" xfId="0" applyNumberFormat="1" applyFont="1" applyBorder="1"/>
    <xf numFmtId="165" fontId="16" fillId="0" borderId="6" xfId="0" applyNumberFormat="1" applyFont="1" applyBorder="1"/>
    <xf numFmtId="165" fontId="16" fillId="0" borderId="7" xfId="0" applyNumberFormat="1" applyFont="1" applyBorder="1"/>
    <xf numFmtId="165" fontId="3" fillId="0" borderId="0" xfId="0" applyNumberFormat="1" applyFont="1"/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169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4" fontId="6" fillId="0" borderId="19" xfId="0" applyNumberFormat="1" applyFont="1" applyBorder="1" applyAlignment="1">
      <alignment vertical="center"/>
    </xf>
    <xf numFmtId="165" fontId="6" fillId="0" borderId="19" xfId="0" applyNumberFormat="1" applyFont="1" applyBorder="1" applyAlignment="1">
      <alignment vertical="center"/>
    </xf>
    <xf numFmtId="165" fontId="6" fillId="0" borderId="20" xfId="0" applyNumberFormat="1" applyFont="1" applyBorder="1" applyAlignment="1">
      <alignment vertical="center"/>
    </xf>
    <xf numFmtId="169" fontId="6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4" fontId="6" fillId="0" borderId="11" xfId="0" applyNumberFormat="1" applyFont="1" applyBorder="1" applyAlignment="1">
      <alignment vertical="center"/>
    </xf>
    <xf numFmtId="165" fontId="6" fillId="0" borderId="11" xfId="0" applyNumberFormat="1" applyFont="1" applyBorder="1" applyAlignment="1">
      <alignment vertical="center"/>
    </xf>
    <xf numFmtId="165" fontId="6" fillId="0" borderId="12" xfId="0" applyNumberFormat="1" applyFont="1" applyBorder="1" applyAlignment="1">
      <alignment vertical="center"/>
    </xf>
    <xf numFmtId="169" fontId="6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4" fontId="6" fillId="0" borderId="15" xfId="0" applyNumberFormat="1" applyFont="1" applyBorder="1" applyAlignment="1">
      <alignment vertical="center"/>
    </xf>
    <xf numFmtId="165" fontId="6" fillId="0" borderId="15" xfId="0" applyNumberFormat="1" applyFont="1" applyBorder="1" applyAlignment="1">
      <alignment vertical="center"/>
    </xf>
    <xf numFmtId="165" fontId="6" fillId="0" borderId="16" xfId="0" applyNumberFormat="1" applyFont="1" applyBorder="1" applyAlignment="1">
      <alignment vertical="center"/>
    </xf>
    <xf numFmtId="4" fontId="4" fillId="0" borderId="27" xfId="0" applyNumberFormat="1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165" fontId="4" fillId="0" borderId="6" xfId="0" applyNumberFormat="1" applyFont="1" applyBorder="1" applyAlignment="1">
      <alignment vertical="center"/>
    </xf>
    <xf numFmtId="165" fontId="4" fillId="0" borderId="7" xfId="0" applyNumberFormat="1" applyFont="1" applyBorder="1" applyAlignment="1">
      <alignment vertical="center"/>
    </xf>
    <xf numFmtId="4" fontId="4" fillId="0" borderId="27" xfId="0" applyNumberFormat="1" applyFont="1" applyBorder="1" applyAlignment="1">
      <alignment horizontal="right" vertical="center"/>
    </xf>
    <xf numFmtId="165" fontId="4" fillId="0" borderId="5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/>
    </xf>
    <xf numFmtId="165" fontId="4" fillId="0" borderId="7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4" fontId="6" fillId="0" borderId="6" xfId="0" applyNumberFormat="1" applyFont="1" applyBorder="1" applyAlignment="1">
      <alignment horizontal="right" vertical="center"/>
    </xf>
    <xf numFmtId="165" fontId="6" fillId="0" borderId="6" xfId="0" applyNumberFormat="1" applyFont="1" applyBorder="1" applyAlignment="1">
      <alignment horizontal="right" vertical="center"/>
    </xf>
    <xf numFmtId="165" fontId="6" fillId="0" borderId="7" xfId="0" applyNumberFormat="1" applyFont="1" applyBorder="1" applyAlignment="1">
      <alignment horizontal="right" vertical="center"/>
    </xf>
    <xf numFmtId="169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" fontId="6" fillId="0" borderId="6" xfId="0" applyNumberFormat="1" applyFont="1" applyBorder="1" applyAlignment="1">
      <alignment vertical="center"/>
    </xf>
    <xf numFmtId="165" fontId="6" fillId="0" borderId="6" xfId="0" applyNumberFormat="1" applyFont="1" applyBorder="1" applyAlignment="1">
      <alignment vertical="center"/>
    </xf>
    <xf numFmtId="165" fontId="6" fillId="0" borderId="7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horizontal="right"/>
    </xf>
    <xf numFmtId="165" fontId="6" fillId="0" borderId="53" xfId="0" applyNumberFormat="1" applyFont="1" applyBorder="1" applyAlignment="1">
      <alignment horizontal="right" vertical="center"/>
    </xf>
    <xf numFmtId="165" fontId="6" fillId="0" borderId="54" xfId="0" applyNumberFormat="1" applyFont="1" applyBorder="1" applyAlignment="1">
      <alignment horizontal="right" vertical="center"/>
    </xf>
    <xf numFmtId="4" fontId="6" fillId="0" borderId="33" xfId="0" applyNumberFormat="1" applyFont="1" applyBorder="1"/>
    <xf numFmtId="165" fontId="6" fillId="0" borderId="52" xfId="0" applyNumberFormat="1" applyFont="1" applyBorder="1"/>
    <xf numFmtId="4" fontId="6" fillId="0" borderId="33" xfId="0" applyNumberFormat="1" applyFont="1" applyBorder="1" applyAlignment="1">
      <alignment horizontal="right" vertical="center"/>
    </xf>
    <xf numFmtId="165" fontId="6" fillId="0" borderId="52" xfId="0" applyNumberFormat="1" applyFont="1" applyBorder="1" applyAlignment="1">
      <alignment horizontal="right" vertical="center"/>
    </xf>
    <xf numFmtId="3" fontId="18" fillId="0" borderId="12" xfId="0" applyNumberFormat="1" applyFont="1" applyBorder="1" applyAlignment="1">
      <alignment horizontal="right" indent="1"/>
    </xf>
    <xf numFmtId="175" fontId="6" fillId="0" borderId="0" xfId="0" applyNumberFormat="1" applyFont="1"/>
    <xf numFmtId="175" fontId="6" fillId="0" borderId="0" xfId="0" applyNumberFormat="1" applyFont="1" applyAlignment="1">
      <alignment vertical="center"/>
    </xf>
    <xf numFmtId="175" fontId="6" fillId="0" borderId="0" xfId="1" applyNumberFormat="1" applyFont="1" applyFill="1" applyBorder="1" applyAlignment="1">
      <alignment vertical="center"/>
    </xf>
    <xf numFmtId="2" fontId="6" fillId="0" borderId="0" xfId="0" applyNumberFormat="1" applyFont="1" applyAlignment="1">
      <alignment horizontal="center" vertical="center"/>
    </xf>
    <xf numFmtId="164" fontId="6" fillId="0" borderId="0" xfId="1" applyFont="1" applyFill="1" applyBorder="1" applyAlignment="1">
      <alignment vertical="center"/>
    </xf>
    <xf numFmtId="14" fontId="5" fillId="0" borderId="0" xfId="0" applyNumberFormat="1" applyFont="1"/>
    <xf numFmtId="0" fontId="5" fillId="0" borderId="0" xfId="0" applyFont="1"/>
    <xf numFmtId="14" fontId="6" fillId="0" borderId="30" xfId="0" applyNumberFormat="1" applyFont="1" applyBorder="1" applyAlignment="1">
      <alignment horizontal="center" vertical="center"/>
    </xf>
    <xf numFmtId="14" fontId="6" fillId="0" borderId="32" xfId="0" applyNumberFormat="1" applyFont="1" applyBorder="1" applyAlignment="1">
      <alignment horizontal="center" vertical="center"/>
    </xf>
    <xf numFmtId="14" fontId="6" fillId="0" borderId="35" xfId="0" applyNumberFormat="1" applyFont="1" applyBorder="1"/>
    <xf numFmtId="176" fontId="6" fillId="0" borderId="0" xfId="0" applyNumberFormat="1" applyFont="1"/>
    <xf numFmtId="0" fontId="2" fillId="4" borderId="18" xfId="0" applyFont="1" applyFill="1" applyBorder="1"/>
    <xf numFmtId="3" fontId="2" fillId="4" borderId="20" xfId="0" applyNumberFormat="1" applyFont="1" applyFill="1" applyBorder="1"/>
    <xf numFmtId="14" fontId="2" fillId="4" borderId="18" xfId="0" applyNumberFormat="1" applyFont="1" applyFill="1" applyBorder="1" applyAlignment="1">
      <alignment horizontal="right"/>
    </xf>
    <xf numFmtId="3" fontId="6" fillId="4" borderId="19" xfId="0" applyNumberFormat="1" applyFont="1" applyFill="1" applyBorder="1" applyAlignment="1">
      <alignment horizontal="right"/>
    </xf>
    <xf numFmtId="3" fontId="2" fillId="4" borderId="12" xfId="0" applyNumberFormat="1" applyFont="1" applyFill="1" applyBorder="1"/>
    <xf numFmtId="14" fontId="2" fillId="4" borderId="10" xfId="0" applyNumberFormat="1" applyFont="1" applyFill="1" applyBorder="1" applyAlignment="1">
      <alignment horizontal="right"/>
    </xf>
    <xf numFmtId="3" fontId="6" fillId="4" borderId="11" xfId="0" applyNumberFormat="1" applyFont="1" applyFill="1" applyBorder="1" applyAlignment="1">
      <alignment horizontal="right"/>
    </xf>
    <xf numFmtId="0" fontId="17" fillId="0" borderId="9" xfId="0" applyFont="1" applyBorder="1" applyAlignment="1">
      <alignment horizontal="left" indent="1"/>
    </xf>
    <xf numFmtId="3" fontId="6" fillId="4" borderId="10" xfId="0" applyNumberFormat="1" applyFont="1" applyFill="1" applyBorder="1" applyAlignment="1">
      <alignment horizontal="center"/>
    </xf>
    <xf numFmtId="3" fontId="6" fillId="4" borderId="12" xfId="0" applyNumberFormat="1" applyFont="1" applyFill="1" applyBorder="1" applyAlignment="1">
      <alignment horizontal="center"/>
    </xf>
    <xf numFmtId="0" fontId="2" fillId="4" borderId="14" xfId="0" applyFont="1" applyFill="1" applyBorder="1"/>
    <xf numFmtId="3" fontId="2" fillId="4" borderId="16" xfId="0" applyNumberFormat="1" applyFont="1" applyFill="1" applyBorder="1"/>
    <xf numFmtId="14" fontId="2" fillId="4" borderId="14" xfId="0" applyNumberFormat="1" applyFont="1" applyFill="1" applyBorder="1" applyAlignment="1">
      <alignment horizontal="right"/>
    </xf>
    <xf numFmtId="3" fontId="6" fillId="4" borderId="15" xfId="0" applyNumberFormat="1" applyFont="1" applyFill="1" applyBorder="1" applyAlignment="1">
      <alignment horizontal="right"/>
    </xf>
    <xf numFmtId="0" fontId="2" fillId="4" borderId="16" xfId="0" applyFont="1" applyFill="1" applyBorder="1"/>
    <xf numFmtId="4" fontId="16" fillId="0" borderId="0" xfId="0" applyNumberFormat="1" applyFont="1"/>
    <xf numFmtId="165" fontId="16" fillId="0" borderId="0" xfId="0" applyNumberFormat="1" applyFont="1"/>
    <xf numFmtId="4" fontId="4" fillId="0" borderId="0" xfId="0" applyNumberFormat="1" applyFont="1" applyAlignment="1">
      <alignment vertical="center"/>
    </xf>
    <xf numFmtId="0" fontId="16" fillId="0" borderId="18" xfId="0" applyFont="1" applyBorder="1"/>
    <xf numFmtId="0" fontId="16" fillId="0" borderId="19" xfId="0" applyFont="1" applyBorder="1"/>
    <xf numFmtId="0" fontId="16" fillId="0" borderId="20" xfId="0" applyFont="1" applyBorder="1"/>
    <xf numFmtId="169" fontId="6" fillId="0" borderId="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5" fontId="6" fillId="0" borderId="7" xfId="0" applyNumberFormat="1" applyFont="1" applyBorder="1"/>
    <xf numFmtId="14" fontId="6" fillId="0" borderId="7" xfId="0" applyNumberFormat="1" applyFont="1" applyBorder="1"/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 wrapText="1"/>
    </xf>
    <xf numFmtId="169" fontId="6" fillId="4" borderId="30" xfId="0" applyNumberFormat="1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vertical="center"/>
    </xf>
    <xf numFmtId="0" fontId="6" fillId="4" borderId="31" xfId="0" applyFont="1" applyFill="1" applyBorder="1" applyAlignment="1">
      <alignment horizontal="center" vertical="center"/>
    </xf>
    <xf numFmtId="4" fontId="6" fillId="4" borderId="31" xfId="0" applyNumberFormat="1" applyFont="1" applyFill="1" applyBorder="1" applyAlignment="1">
      <alignment vertical="center"/>
    </xf>
    <xf numFmtId="165" fontId="6" fillId="4" borderId="31" xfId="0" applyNumberFormat="1" applyFont="1" applyFill="1" applyBorder="1" applyAlignment="1">
      <alignment vertical="center"/>
    </xf>
    <xf numFmtId="165" fontId="6" fillId="4" borderId="57" xfId="0" applyNumberFormat="1" applyFont="1" applyFill="1" applyBorder="1" applyAlignment="1">
      <alignment vertical="center"/>
    </xf>
    <xf numFmtId="169" fontId="6" fillId="4" borderId="32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4" fontId="6" fillId="4" borderId="0" xfId="0" applyNumberFormat="1" applyFont="1" applyFill="1" applyAlignment="1">
      <alignment vertical="center"/>
    </xf>
    <xf numFmtId="165" fontId="6" fillId="4" borderId="0" xfId="0" applyNumberFormat="1" applyFont="1" applyFill="1" applyAlignment="1">
      <alignment vertical="center"/>
    </xf>
    <xf numFmtId="165" fontId="6" fillId="4" borderId="58" xfId="0" applyNumberFormat="1" applyFont="1" applyFill="1" applyBorder="1" applyAlignment="1">
      <alignment vertical="center"/>
    </xf>
    <xf numFmtId="165" fontId="25" fillId="0" borderId="0" xfId="0" applyNumberFormat="1" applyFont="1"/>
    <xf numFmtId="14" fontId="6" fillId="4" borderId="30" xfId="0" applyNumberFormat="1" applyFont="1" applyFill="1" applyBorder="1" applyAlignment="1">
      <alignment horizontal="center" vertical="center"/>
    </xf>
    <xf numFmtId="14" fontId="6" fillId="4" borderId="32" xfId="0" applyNumberFormat="1" applyFont="1" applyFill="1" applyBorder="1" applyAlignment="1">
      <alignment horizontal="center" vertical="center"/>
    </xf>
    <xf numFmtId="169" fontId="3" fillId="0" borderId="3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5" fontId="3" fillId="0" borderId="58" xfId="0" applyNumberFormat="1" applyFont="1" applyBorder="1" applyAlignment="1">
      <alignment vertical="center"/>
    </xf>
    <xf numFmtId="169" fontId="3" fillId="0" borderId="32" xfId="0" applyNumberFormat="1" applyFont="1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165" fontId="3" fillId="0" borderId="58" xfId="0" applyNumberFormat="1" applyFont="1" applyBorder="1"/>
    <xf numFmtId="169" fontId="3" fillId="4" borderId="32" xfId="0" applyNumberFormat="1" applyFont="1" applyFill="1" applyBorder="1" applyAlignment="1">
      <alignment horizontal="center" vertical="center"/>
    </xf>
    <xf numFmtId="169" fontId="6" fillId="0" borderId="8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4" fontId="6" fillId="0" borderId="22" xfId="0" applyNumberFormat="1" applyFont="1" applyBorder="1" applyAlignment="1">
      <alignment vertical="center"/>
    </xf>
    <xf numFmtId="165" fontId="6" fillId="0" borderId="22" xfId="0" applyNumberFormat="1" applyFont="1" applyBorder="1" applyAlignment="1">
      <alignment vertical="center"/>
    </xf>
    <xf numFmtId="165" fontId="6" fillId="0" borderId="69" xfId="0" applyNumberFormat="1" applyFont="1" applyBorder="1" applyAlignment="1">
      <alignment vertical="center"/>
    </xf>
    <xf numFmtId="169" fontId="6" fillId="0" borderId="66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vertical="center"/>
    </xf>
    <xf numFmtId="0" fontId="6" fillId="0" borderId="60" xfId="0" applyFont="1" applyBorder="1" applyAlignment="1">
      <alignment horizontal="center" vertical="center"/>
    </xf>
    <xf numFmtId="4" fontId="6" fillId="0" borderId="60" xfId="0" applyNumberFormat="1" applyFont="1" applyBorder="1" applyAlignment="1">
      <alignment vertical="center"/>
    </xf>
    <xf numFmtId="165" fontId="6" fillId="0" borderId="60" xfId="0" applyNumberFormat="1" applyFont="1" applyBorder="1" applyAlignment="1">
      <alignment vertical="center"/>
    </xf>
    <xf numFmtId="165" fontId="6" fillId="0" borderId="61" xfId="0" applyNumberFormat="1" applyFont="1" applyBorder="1" applyAlignment="1">
      <alignment vertical="center"/>
    </xf>
    <xf numFmtId="169" fontId="6" fillId="0" borderId="52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vertical="center"/>
    </xf>
    <xf numFmtId="0" fontId="6" fillId="0" borderId="53" xfId="0" applyFont="1" applyBorder="1" applyAlignment="1">
      <alignment horizontal="center" vertical="center"/>
    </xf>
    <xf numFmtId="4" fontId="6" fillId="0" borderId="53" xfId="0" applyNumberFormat="1" applyFont="1" applyBorder="1" applyAlignment="1">
      <alignment vertical="center"/>
    </xf>
    <xf numFmtId="165" fontId="6" fillId="0" borderId="53" xfId="0" applyNumberFormat="1" applyFont="1" applyBorder="1" applyAlignment="1">
      <alignment vertical="center"/>
    </xf>
    <xf numFmtId="165" fontId="6" fillId="0" borderId="54" xfId="0" applyNumberFormat="1" applyFont="1" applyBorder="1" applyAlignment="1">
      <alignment vertical="center"/>
    </xf>
    <xf numFmtId="0" fontId="0" fillId="0" borderId="6" xfId="0" applyBorder="1"/>
    <xf numFmtId="4" fontId="0" fillId="0" borderId="6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77" fontId="6" fillId="0" borderId="0" xfId="0" applyNumberFormat="1" applyFont="1"/>
    <xf numFmtId="14" fontId="6" fillId="0" borderId="20" xfId="0" applyNumberFormat="1" applyFont="1" applyBorder="1" applyAlignment="1">
      <alignment horizontal="right"/>
    </xf>
    <xf numFmtId="14" fontId="6" fillId="0" borderId="26" xfId="1" applyNumberFormat="1" applyFont="1" applyFill="1" applyBorder="1"/>
    <xf numFmtId="3" fontId="2" fillId="4" borderId="50" xfId="0" applyNumberFormat="1" applyFont="1" applyFill="1" applyBorder="1"/>
    <xf numFmtId="14" fontId="6" fillId="4" borderId="18" xfId="0" applyNumberFormat="1" applyFont="1" applyFill="1" applyBorder="1" applyAlignment="1">
      <alignment horizontal="right"/>
    </xf>
    <xf numFmtId="0" fontId="2" fillId="4" borderId="48" xfId="0" applyFont="1" applyFill="1" applyBorder="1"/>
    <xf numFmtId="0" fontId="2" fillId="4" borderId="20" xfId="0" applyFont="1" applyFill="1" applyBorder="1"/>
    <xf numFmtId="3" fontId="2" fillId="4" borderId="39" xfId="0" applyNumberFormat="1" applyFont="1" applyFill="1" applyBorder="1"/>
    <xf numFmtId="14" fontId="6" fillId="4" borderId="10" xfId="0" applyNumberFormat="1" applyFont="1" applyFill="1" applyBorder="1" applyAlignment="1">
      <alignment horizontal="right"/>
    </xf>
    <xf numFmtId="0" fontId="2" fillId="4" borderId="51" xfId="0" applyFont="1" applyFill="1" applyBorder="1"/>
    <xf numFmtId="3" fontId="2" fillId="4" borderId="55" xfId="0" applyNumberFormat="1" applyFont="1" applyFill="1" applyBorder="1"/>
    <xf numFmtId="3" fontId="6" fillId="4" borderId="25" xfId="0" applyNumberFormat="1" applyFont="1" applyFill="1" applyBorder="1" applyAlignment="1">
      <alignment horizontal="right"/>
    </xf>
    <xf numFmtId="0" fontId="2" fillId="4" borderId="56" xfId="0" applyFont="1" applyFill="1" applyBorder="1"/>
    <xf numFmtId="14" fontId="6" fillId="4" borderId="24" xfId="0" applyNumberFormat="1" applyFont="1" applyFill="1" applyBorder="1" applyAlignment="1">
      <alignment horizontal="right"/>
    </xf>
    <xf numFmtId="3" fontId="2" fillId="4" borderId="26" xfId="0" applyNumberFormat="1" applyFont="1" applyFill="1" applyBorder="1"/>
    <xf numFmtId="14" fontId="6" fillId="0" borderId="30" xfId="0" applyNumberFormat="1" applyFont="1" applyBorder="1" applyAlignment="1">
      <alignment horizontal="right" vertical="center"/>
    </xf>
    <xf numFmtId="14" fontId="6" fillId="0" borderId="32" xfId="0" applyNumberFormat="1" applyFont="1" applyBorder="1" applyAlignment="1">
      <alignment horizontal="right" vertical="center"/>
    </xf>
    <xf numFmtId="0" fontId="4" fillId="0" borderId="23" xfId="0" applyFont="1" applyBorder="1"/>
    <xf numFmtId="0" fontId="4" fillId="0" borderId="24" xfId="0" applyFont="1" applyBorder="1"/>
    <xf numFmtId="14" fontId="4" fillId="0" borderId="25" xfId="0" applyNumberFormat="1" applyFont="1" applyBorder="1"/>
    <xf numFmtId="0" fontId="4" fillId="0" borderId="25" xfId="0" applyFont="1" applyBorder="1"/>
    <xf numFmtId="4" fontId="4" fillId="0" borderId="25" xfId="0" applyNumberFormat="1" applyFont="1" applyBorder="1"/>
    <xf numFmtId="165" fontId="4" fillId="0" borderId="25" xfId="0" applyNumberFormat="1" applyFont="1" applyBorder="1"/>
    <xf numFmtId="14" fontId="4" fillId="0" borderId="26" xfId="0" applyNumberFormat="1" applyFont="1" applyBorder="1"/>
    <xf numFmtId="165" fontId="4" fillId="0" borderId="24" xfId="0" applyNumberFormat="1" applyFont="1" applyBorder="1"/>
    <xf numFmtId="4" fontId="4" fillId="0" borderId="24" xfId="0" applyNumberFormat="1" applyFont="1" applyBorder="1"/>
    <xf numFmtId="0" fontId="4" fillId="0" borderId="26" xfId="0" applyFont="1" applyBorder="1"/>
    <xf numFmtId="4" fontId="4" fillId="0" borderId="9" xfId="0" applyNumberFormat="1" applyFont="1" applyBorder="1"/>
    <xf numFmtId="0" fontId="4" fillId="0" borderId="13" xfId="0" applyFont="1" applyBorder="1"/>
    <xf numFmtId="0" fontId="4" fillId="0" borderId="14" xfId="0" applyFont="1" applyBorder="1"/>
    <xf numFmtId="14" fontId="4" fillId="0" borderId="15" xfId="0" applyNumberFormat="1" applyFont="1" applyBorder="1"/>
    <xf numFmtId="0" fontId="4" fillId="0" borderId="15" xfId="0" applyFont="1" applyBorder="1"/>
    <xf numFmtId="4" fontId="4" fillId="0" borderId="15" xfId="0" applyNumberFormat="1" applyFont="1" applyBorder="1"/>
    <xf numFmtId="165" fontId="4" fillId="0" borderId="15" xfId="0" applyNumberFormat="1" applyFont="1" applyBorder="1"/>
    <xf numFmtId="14" fontId="4" fillId="0" borderId="16" xfId="0" applyNumberFormat="1" applyFont="1" applyBorder="1"/>
    <xf numFmtId="165" fontId="4" fillId="0" borderId="14" xfId="0" applyNumberFormat="1" applyFont="1" applyBorder="1"/>
    <xf numFmtId="4" fontId="4" fillId="0" borderId="14" xfId="0" applyNumberFormat="1" applyFont="1" applyBorder="1"/>
    <xf numFmtId="0" fontId="4" fillId="0" borderId="16" xfId="0" applyFont="1" applyBorder="1"/>
    <xf numFmtId="4" fontId="4" fillId="0" borderId="13" xfId="0" applyNumberFormat="1" applyFont="1" applyBorder="1"/>
    <xf numFmtId="0" fontId="4" fillId="0" borderId="21" xfId="0" applyFont="1" applyBorder="1"/>
    <xf numFmtId="14" fontId="4" fillId="0" borderId="21" xfId="0" applyNumberFormat="1" applyFont="1" applyBorder="1"/>
    <xf numFmtId="4" fontId="4" fillId="0" borderId="21" xfId="0" applyNumberFormat="1" applyFont="1" applyBorder="1"/>
    <xf numFmtId="165" fontId="4" fillId="0" borderId="21" xfId="0" applyNumberFormat="1" applyFont="1" applyBorder="1"/>
    <xf numFmtId="2" fontId="4" fillId="0" borderId="0" xfId="0" applyNumberFormat="1" applyFont="1"/>
    <xf numFmtId="164" fontId="4" fillId="0" borderId="0" xfId="0" applyNumberFormat="1" applyFont="1"/>
    <xf numFmtId="171" fontId="4" fillId="0" borderId="0" xfId="1" applyNumberFormat="1" applyFont="1" applyFill="1"/>
    <xf numFmtId="14" fontId="4" fillId="0" borderId="0" xfId="1" applyNumberFormat="1" applyFont="1" applyFill="1"/>
    <xf numFmtId="9" fontId="6" fillId="0" borderId="0" xfId="0" applyNumberFormat="1" applyFont="1"/>
    <xf numFmtId="0" fontId="6" fillId="0" borderId="13" xfId="0" applyFont="1" applyBorder="1"/>
    <xf numFmtId="164" fontId="6" fillId="0" borderId="16" xfId="1" applyFont="1" applyFill="1" applyBorder="1"/>
    <xf numFmtId="165" fontId="6" fillId="0" borderId="14" xfId="0" applyNumberFormat="1" applyFont="1" applyBorder="1"/>
    <xf numFmtId="4" fontId="6" fillId="0" borderId="14" xfId="0" applyNumberFormat="1" applyFont="1" applyBorder="1"/>
    <xf numFmtId="4" fontId="6" fillId="0" borderId="13" xfId="0" applyNumberFormat="1" applyFont="1" applyBorder="1"/>
    <xf numFmtId="14" fontId="6" fillId="0" borderId="0" xfId="1" applyNumberFormat="1" applyFont="1"/>
    <xf numFmtId="11" fontId="4" fillId="0" borderId="5" xfId="0" applyNumberFormat="1" applyFont="1" applyBorder="1" applyAlignment="1">
      <alignment horizontal="center"/>
    </xf>
    <xf numFmtId="11" fontId="4" fillId="0" borderId="6" xfId="0" applyNumberFormat="1" applyFont="1" applyBorder="1" applyAlignment="1">
      <alignment horizontal="center"/>
    </xf>
    <xf numFmtId="0" fontId="4" fillId="0" borderId="1" xfId="0" applyFont="1" applyBorder="1"/>
    <xf numFmtId="0" fontId="6" fillId="0" borderId="28" xfId="0" applyFont="1" applyBorder="1"/>
    <xf numFmtId="0" fontId="6" fillId="0" borderId="38" xfId="0" applyFont="1" applyBorder="1"/>
    <xf numFmtId="0" fontId="6" fillId="0" borderId="45" xfId="0" applyFont="1" applyBorder="1"/>
    <xf numFmtId="4" fontId="4" fillId="0" borderId="10" xfId="0" applyNumberFormat="1" applyFont="1" applyBorder="1"/>
    <xf numFmtId="4" fontId="4" fillId="0" borderId="11" xfId="0" applyNumberFormat="1" applyFont="1" applyBorder="1"/>
    <xf numFmtId="0" fontId="4" fillId="0" borderId="9" xfId="0" applyFont="1" applyBorder="1"/>
    <xf numFmtId="4" fontId="4" fillId="0" borderId="5" xfId="0" applyNumberFormat="1" applyFont="1" applyBorder="1"/>
    <xf numFmtId="164" fontId="0" fillId="0" borderId="0" xfId="0" applyNumberFormat="1"/>
    <xf numFmtId="0" fontId="6" fillId="0" borderId="18" xfId="0" applyFont="1" applyBorder="1" applyAlignment="1">
      <alignment horizontal="left"/>
    </xf>
    <xf numFmtId="14" fontId="6" fillId="0" borderId="19" xfId="0" applyNumberFormat="1" applyFont="1" applyBorder="1" applyAlignment="1">
      <alignment horizontal="right"/>
    </xf>
    <xf numFmtId="4" fontId="6" fillId="0" borderId="19" xfId="0" applyNumberFormat="1" applyFont="1" applyBorder="1" applyAlignment="1">
      <alignment horizontal="right"/>
    </xf>
    <xf numFmtId="165" fontId="6" fillId="0" borderId="19" xfId="0" applyNumberFormat="1" applyFont="1" applyBorder="1" applyAlignment="1">
      <alignment horizontal="right"/>
    </xf>
    <xf numFmtId="0" fontId="6" fillId="0" borderId="19" xfId="0" applyFont="1" applyBorder="1" applyAlignment="1">
      <alignment horizontal="left"/>
    </xf>
    <xf numFmtId="3" fontId="6" fillId="4" borderId="50" xfId="0" applyNumberFormat="1" applyFont="1" applyFill="1" applyBorder="1"/>
    <xf numFmtId="3" fontId="6" fillId="4" borderId="20" xfId="0" applyNumberFormat="1" applyFont="1" applyFill="1" applyBorder="1"/>
    <xf numFmtId="0" fontId="6" fillId="4" borderId="48" xfId="0" applyFont="1" applyFill="1" applyBorder="1"/>
    <xf numFmtId="0" fontId="6" fillId="4" borderId="20" xfId="0" applyFont="1" applyFill="1" applyBorder="1"/>
    <xf numFmtId="3" fontId="6" fillId="4" borderId="39" xfId="0" applyNumberFormat="1" applyFont="1" applyFill="1" applyBorder="1"/>
    <xf numFmtId="3" fontId="6" fillId="4" borderId="12" xfId="0" applyNumberFormat="1" applyFont="1" applyFill="1" applyBorder="1"/>
    <xf numFmtId="0" fontId="6" fillId="4" borderId="51" xfId="0" applyFont="1" applyFill="1" applyBorder="1"/>
    <xf numFmtId="3" fontId="6" fillId="4" borderId="55" xfId="0" applyNumberFormat="1" applyFont="1" applyFill="1" applyBorder="1"/>
    <xf numFmtId="0" fontId="6" fillId="4" borderId="56" xfId="0" applyFont="1" applyFill="1" applyBorder="1"/>
    <xf numFmtId="3" fontId="6" fillId="4" borderId="26" xfId="0" applyNumberFormat="1" applyFont="1" applyFill="1" applyBorder="1"/>
    <xf numFmtId="3" fontId="15" fillId="6" borderId="14" xfId="0" applyNumberFormat="1" applyFont="1" applyFill="1" applyBorder="1"/>
    <xf numFmtId="3" fontId="15" fillId="6" borderId="15" xfId="0" applyNumberFormat="1" applyFont="1" applyFill="1" applyBorder="1"/>
    <xf numFmtId="3" fontId="15" fillId="6" borderId="16" xfId="0" applyNumberFormat="1" applyFont="1" applyFill="1" applyBorder="1"/>
    <xf numFmtId="167" fontId="9" fillId="5" borderId="9" xfId="0" applyNumberFormat="1" applyFont="1" applyFill="1" applyBorder="1" applyAlignment="1">
      <alignment horizontal="center"/>
    </xf>
    <xf numFmtId="3" fontId="15" fillId="6" borderId="13" xfId="0" applyNumberFormat="1" applyFont="1" applyFill="1" applyBorder="1"/>
    <xf numFmtId="165" fontId="4" fillId="0" borderId="29" xfId="0" applyNumberFormat="1" applyFont="1" applyBorder="1"/>
    <xf numFmtId="4" fontId="6" fillId="10" borderId="0" xfId="0" applyNumberFormat="1" applyFont="1" applyFill="1" applyAlignment="1">
      <alignment vertical="center"/>
    </xf>
    <xf numFmtId="165" fontId="6" fillId="10" borderId="0" xfId="0" applyNumberFormat="1" applyFont="1" applyFill="1" applyAlignment="1">
      <alignment vertical="center"/>
    </xf>
    <xf numFmtId="165" fontId="6" fillId="10" borderId="0" xfId="0" applyNumberFormat="1" applyFont="1" applyFill="1"/>
    <xf numFmtId="165" fontId="6" fillId="10" borderId="58" xfId="0" applyNumberFormat="1" applyFont="1" applyFill="1" applyBorder="1" applyAlignment="1">
      <alignment vertical="center"/>
    </xf>
    <xf numFmtId="0" fontId="10" fillId="0" borderId="9" xfId="0" applyFont="1" applyBorder="1" applyAlignment="1">
      <alignment horizontal="left" indent="6"/>
    </xf>
    <xf numFmtId="171" fontId="6" fillId="0" borderId="0" xfId="1" applyNumberFormat="1" applyFont="1" applyFill="1"/>
    <xf numFmtId="14" fontId="6" fillId="0" borderId="35" xfId="0" applyNumberFormat="1" applyFont="1" applyBorder="1" applyAlignment="1">
      <alignment horizontal="center" vertical="center"/>
    </xf>
    <xf numFmtId="175" fontId="0" fillId="0" borderId="0" xfId="0" applyNumberFormat="1"/>
    <xf numFmtId="0" fontId="0" fillId="0" borderId="30" xfId="0" applyBorder="1"/>
    <xf numFmtId="0" fontId="0" fillId="0" borderId="31" xfId="0" applyBorder="1"/>
    <xf numFmtId="14" fontId="0" fillId="0" borderId="31" xfId="0" applyNumberFormat="1" applyBorder="1"/>
    <xf numFmtId="165" fontId="0" fillId="0" borderId="57" xfId="0" applyNumberFormat="1" applyBorder="1"/>
    <xf numFmtId="0" fontId="0" fillId="0" borderId="32" xfId="0" applyBorder="1"/>
    <xf numFmtId="165" fontId="0" fillId="0" borderId="58" xfId="0" applyNumberFormat="1" applyBorder="1"/>
    <xf numFmtId="0" fontId="0" fillId="0" borderId="58" xfId="0" applyBorder="1"/>
    <xf numFmtId="0" fontId="0" fillId="0" borderId="35" xfId="0" applyBorder="1"/>
    <xf numFmtId="0" fontId="0" fillId="0" borderId="21" xfId="0" applyBorder="1"/>
    <xf numFmtId="165" fontId="0" fillId="0" borderId="34" xfId="0" applyNumberFormat="1" applyBorder="1"/>
    <xf numFmtId="14" fontId="6" fillId="0" borderId="7" xfId="0" applyNumberFormat="1" applyFont="1" applyBorder="1" applyAlignment="1">
      <alignment horizontal="right"/>
    </xf>
    <xf numFmtId="165" fontId="0" fillId="4" borderId="0" xfId="0" applyNumberFormat="1" applyFill="1"/>
    <xf numFmtId="165" fontId="6" fillId="0" borderId="16" xfId="0" applyNumberFormat="1" applyFont="1" applyBorder="1"/>
    <xf numFmtId="165" fontId="4" fillId="0" borderId="26" xfId="0" applyNumberFormat="1" applyFont="1" applyBorder="1"/>
    <xf numFmtId="14" fontId="8" fillId="0" borderId="27" xfId="0" applyNumberFormat="1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4" xfId="0" applyFont="1" applyBorder="1"/>
    <xf numFmtId="3" fontId="29" fillId="0" borderId="44" xfId="0" applyNumberFormat="1" applyFont="1" applyBorder="1" applyAlignment="1">
      <alignment horizontal="right"/>
    </xf>
    <xf numFmtId="14" fontId="8" fillId="0" borderId="33" xfId="0" applyNumberFormat="1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4" xfId="0" applyFont="1" applyBorder="1"/>
    <xf numFmtId="3" fontId="29" fillId="0" borderId="34" xfId="0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7" xfId="0" applyFont="1" applyBorder="1"/>
    <xf numFmtId="16" fontId="10" fillId="0" borderId="0" xfId="0" applyNumberFormat="1" applyFont="1"/>
    <xf numFmtId="16" fontId="6" fillId="0" borderId="0" xfId="0" applyNumberFormat="1" applyFont="1"/>
    <xf numFmtId="0" fontId="0" fillId="0" borderId="11" xfId="0" applyBorder="1"/>
    <xf numFmtId="0" fontId="25" fillId="0" borderId="32" xfId="0" applyFont="1" applyBorder="1"/>
    <xf numFmtId="0" fontId="25" fillId="0" borderId="58" xfId="0" applyFont="1" applyBorder="1"/>
    <xf numFmtId="14" fontId="30" fillId="0" borderId="10" xfId="0" applyNumberFormat="1" applyFont="1" applyBorder="1" applyAlignment="1">
      <alignment horizontal="center"/>
    </xf>
    <xf numFmtId="3" fontId="31" fillId="11" borderId="12" xfId="0" applyNumberFormat="1" applyFont="1" applyFill="1" applyBorder="1" applyAlignment="1">
      <alignment horizontal="center"/>
    </xf>
    <xf numFmtId="3" fontId="31" fillId="12" borderId="12" xfId="0" applyNumberFormat="1" applyFont="1" applyFill="1" applyBorder="1" applyAlignment="1">
      <alignment horizontal="center"/>
    </xf>
    <xf numFmtId="14" fontId="30" fillId="0" borderId="14" xfId="0" applyNumberFormat="1" applyFont="1" applyBorder="1" applyAlignment="1">
      <alignment horizontal="center"/>
    </xf>
    <xf numFmtId="0" fontId="0" fillId="0" borderId="15" xfId="0" applyBorder="1"/>
    <xf numFmtId="3" fontId="31" fillId="13" borderId="16" xfId="0" applyNumberFormat="1" applyFont="1" applyFill="1" applyBorder="1" applyAlignment="1">
      <alignment horizontal="center"/>
    </xf>
    <xf numFmtId="0" fontId="6" fillId="10" borderId="14" xfId="0" applyFont="1" applyFill="1" applyBorder="1"/>
    <xf numFmtId="0" fontId="6" fillId="10" borderId="15" xfId="0" applyFont="1" applyFill="1" applyBorder="1"/>
    <xf numFmtId="4" fontId="6" fillId="10" borderId="15" xfId="0" applyNumberFormat="1" applyFont="1" applyFill="1" applyBorder="1"/>
    <xf numFmtId="165" fontId="6" fillId="10" borderId="15" xfId="0" applyNumberFormat="1" applyFont="1" applyFill="1" applyBorder="1"/>
    <xf numFmtId="14" fontId="6" fillId="10" borderId="15" xfId="0" applyNumberFormat="1" applyFont="1" applyFill="1" applyBorder="1"/>
    <xf numFmtId="14" fontId="6" fillId="10" borderId="16" xfId="0" applyNumberFormat="1" applyFont="1" applyFill="1" applyBorder="1" applyAlignment="1">
      <alignment horizontal="right"/>
    </xf>
    <xf numFmtId="0" fontId="6" fillId="10" borderId="24" xfId="0" applyFont="1" applyFill="1" applyBorder="1"/>
    <xf numFmtId="0" fontId="6" fillId="10" borderId="25" xfId="0" applyFont="1" applyFill="1" applyBorder="1"/>
    <xf numFmtId="4" fontId="6" fillId="10" borderId="25" xfId="0" applyNumberFormat="1" applyFont="1" applyFill="1" applyBorder="1"/>
    <xf numFmtId="165" fontId="6" fillId="10" borderId="25" xfId="0" applyNumberFormat="1" applyFont="1" applyFill="1" applyBorder="1"/>
    <xf numFmtId="14" fontId="6" fillId="10" borderId="25" xfId="0" applyNumberFormat="1" applyFont="1" applyFill="1" applyBorder="1"/>
    <xf numFmtId="14" fontId="6" fillId="10" borderId="26" xfId="0" applyNumberFormat="1" applyFont="1" applyFill="1" applyBorder="1" applyAlignment="1">
      <alignment horizontal="right"/>
    </xf>
    <xf numFmtId="0" fontId="28" fillId="0" borderId="0" xfId="0" applyFont="1"/>
    <xf numFmtId="165" fontId="32" fillId="0" borderId="7" xfId="0" applyNumberFormat="1" applyFont="1" applyBorder="1"/>
    <xf numFmtId="165" fontId="28" fillId="0" borderId="7" xfId="0" applyNumberFormat="1" applyFont="1" applyBorder="1"/>
    <xf numFmtId="0" fontId="28" fillId="0" borderId="0" xfId="0" applyFont="1" applyAlignment="1">
      <alignment horizontal="center"/>
    </xf>
    <xf numFmtId="165" fontId="28" fillId="0" borderId="7" xfId="0" applyNumberFormat="1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32" fillId="0" borderId="0" xfId="0" applyFont="1"/>
    <xf numFmtId="0" fontId="6" fillId="0" borderId="15" xfId="0" applyFont="1" applyBorder="1" applyAlignment="1">
      <alignment horizontal="center"/>
    </xf>
    <xf numFmtId="0" fontId="6" fillId="0" borderId="31" xfId="0" applyFont="1" applyBorder="1" applyAlignment="1">
      <alignment horizontal="left" vertical="center"/>
    </xf>
    <xf numFmtId="165" fontId="6" fillId="0" borderId="31" xfId="0" applyNumberFormat="1" applyFont="1" applyBorder="1"/>
    <xf numFmtId="14" fontId="6" fillId="10" borderId="32" xfId="0" applyNumberFormat="1" applyFont="1" applyFill="1" applyBorder="1"/>
    <xf numFmtId="0" fontId="6" fillId="10" borderId="0" xfId="0" applyFont="1" applyFill="1"/>
    <xf numFmtId="0" fontId="6" fillId="0" borderId="32" xfId="0" applyFont="1" applyBorder="1"/>
    <xf numFmtId="0" fontId="6" fillId="0" borderId="58" xfId="0" applyFont="1" applyBorder="1"/>
    <xf numFmtId="14" fontId="6" fillId="0" borderId="32" xfId="0" applyNumberFormat="1" applyFont="1" applyBorder="1"/>
    <xf numFmtId="0" fontId="6" fillId="0" borderId="35" xfId="0" applyFont="1" applyBorder="1"/>
    <xf numFmtId="0" fontId="6" fillId="0" borderId="34" xfId="0" applyFont="1" applyBorder="1"/>
    <xf numFmtId="165" fontId="0" fillId="0" borderId="11" xfId="0" applyNumberFormat="1" applyBorder="1"/>
    <xf numFmtId="0" fontId="0" fillId="0" borderId="0" xfId="0" applyAlignment="1">
      <alignment horizontal="center"/>
    </xf>
    <xf numFmtId="0" fontId="0" fillId="0" borderId="18" xfId="0" applyBorder="1"/>
    <xf numFmtId="165" fontId="0" fillId="0" borderId="19" xfId="0" applyNumberFormat="1" applyBorder="1"/>
    <xf numFmtId="165" fontId="0" fillId="0" borderId="20" xfId="0" applyNumberFormat="1" applyBorder="1"/>
    <xf numFmtId="0" fontId="0" fillId="0" borderId="10" xfId="0" applyBorder="1"/>
    <xf numFmtId="165" fontId="0" fillId="0" borderId="12" xfId="0" applyNumberFormat="1" applyBorder="1"/>
    <xf numFmtId="0" fontId="16" fillId="0" borderId="5" xfId="0" applyFont="1" applyBorder="1"/>
    <xf numFmtId="0" fontId="0" fillId="0" borderId="14" xfId="0" applyBorder="1"/>
    <xf numFmtId="165" fontId="0" fillId="0" borderId="15" xfId="0" applyNumberFormat="1" applyBorder="1"/>
    <xf numFmtId="165" fontId="0" fillId="0" borderId="16" xfId="0" applyNumberFormat="1" applyBorder="1"/>
    <xf numFmtId="0" fontId="16" fillId="5" borderId="5" xfId="0" applyFont="1" applyFill="1" applyBorder="1" applyAlignment="1">
      <alignment horizontal="center"/>
    </xf>
    <xf numFmtId="14" fontId="16" fillId="5" borderId="6" xfId="0" applyNumberFormat="1" applyFont="1" applyFill="1" applyBorder="1" applyAlignment="1">
      <alignment horizontal="center"/>
    </xf>
    <xf numFmtId="14" fontId="16" fillId="5" borderId="7" xfId="0" applyNumberFormat="1" applyFont="1" applyFill="1" applyBorder="1" applyAlignment="1">
      <alignment horizontal="center"/>
    </xf>
    <xf numFmtId="164" fontId="10" fillId="0" borderId="0" xfId="1" applyFont="1" applyFill="1"/>
    <xf numFmtId="17" fontId="0" fillId="0" borderId="0" xfId="0" applyNumberFormat="1"/>
    <xf numFmtId="0" fontId="3" fillId="3" borderId="24" xfId="0" applyFont="1" applyFill="1" applyBorder="1"/>
    <xf numFmtId="0" fontId="3" fillId="3" borderId="25" xfId="0" applyFont="1" applyFill="1" applyBorder="1"/>
    <xf numFmtId="4" fontId="3" fillId="3" borderId="25" xfId="0" applyNumberFormat="1" applyFont="1" applyFill="1" applyBorder="1"/>
    <xf numFmtId="165" fontId="3" fillId="3" borderId="25" xfId="0" applyNumberFormat="1" applyFont="1" applyFill="1" applyBorder="1"/>
    <xf numFmtId="14" fontId="3" fillId="3" borderId="25" xfId="0" applyNumberFormat="1" applyFont="1" applyFill="1" applyBorder="1"/>
    <xf numFmtId="14" fontId="3" fillId="3" borderId="26" xfId="0" applyNumberFormat="1" applyFont="1" applyFill="1" applyBorder="1" applyAlignment="1">
      <alignment horizontal="right"/>
    </xf>
    <xf numFmtId="0" fontId="3" fillId="3" borderId="5" xfId="0" applyFont="1" applyFill="1" applyBorder="1"/>
    <xf numFmtId="0" fontId="3" fillId="3" borderId="6" xfId="0" applyFont="1" applyFill="1" applyBorder="1"/>
    <xf numFmtId="4" fontId="3" fillId="3" borderId="6" xfId="0" applyNumberFormat="1" applyFont="1" applyFill="1" applyBorder="1"/>
    <xf numFmtId="165" fontId="3" fillId="3" borderId="6" xfId="0" applyNumberFormat="1" applyFont="1" applyFill="1" applyBorder="1"/>
    <xf numFmtId="14" fontId="3" fillId="3" borderId="6" xfId="0" applyNumberFormat="1" applyFont="1" applyFill="1" applyBorder="1"/>
    <xf numFmtId="14" fontId="3" fillId="3" borderId="7" xfId="0" applyNumberFormat="1" applyFont="1" applyFill="1" applyBorder="1" applyAlignment="1">
      <alignment horizontal="right"/>
    </xf>
    <xf numFmtId="0" fontId="6" fillId="10" borderId="5" xfId="0" applyFont="1" applyFill="1" applyBorder="1"/>
    <xf numFmtId="0" fontId="6" fillId="10" borderId="6" xfId="0" applyFont="1" applyFill="1" applyBorder="1"/>
    <xf numFmtId="4" fontId="6" fillId="10" borderId="6" xfId="0" applyNumberFormat="1" applyFont="1" applyFill="1" applyBorder="1"/>
    <xf numFmtId="165" fontId="6" fillId="10" borderId="6" xfId="0" applyNumberFormat="1" applyFont="1" applyFill="1" applyBorder="1"/>
    <xf numFmtId="14" fontId="6" fillId="10" borderId="6" xfId="0" applyNumberFormat="1" applyFont="1" applyFill="1" applyBorder="1"/>
    <xf numFmtId="14" fontId="6" fillId="10" borderId="7" xfId="0" applyNumberFormat="1" applyFont="1" applyFill="1" applyBorder="1" applyAlignment="1">
      <alignment horizontal="right"/>
    </xf>
    <xf numFmtId="165" fontId="6" fillId="0" borderId="39" xfId="0" applyNumberFormat="1" applyFont="1" applyBorder="1"/>
    <xf numFmtId="0" fontId="0" fillId="0" borderId="24" xfId="0" applyBorder="1"/>
    <xf numFmtId="165" fontId="0" fillId="0" borderId="25" xfId="0" applyNumberFormat="1" applyBorder="1"/>
    <xf numFmtId="164" fontId="6" fillId="0" borderId="0" xfId="0" applyNumberFormat="1" applyFont="1"/>
    <xf numFmtId="4" fontId="4" fillId="10" borderId="25" xfId="0" applyNumberFormat="1" applyFont="1" applyFill="1" applyBorder="1"/>
    <xf numFmtId="165" fontId="16" fillId="5" borderId="12" xfId="0" applyNumberFormat="1" applyFont="1" applyFill="1" applyBorder="1"/>
    <xf numFmtId="0" fontId="33" fillId="0" borderId="0" xfId="0" applyFont="1"/>
    <xf numFmtId="165" fontId="33" fillId="0" borderId="0" xfId="0" applyNumberFormat="1" applyFont="1"/>
    <xf numFmtId="165" fontId="28" fillId="3" borderId="20" xfId="0" applyNumberFormat="1" applyFont="1" applyFill="1" applyBorder="1"/>
    <xf numFmtId="165" fontId="16" fillId="3" borderId="26" xfId="0" applyNumberFormat="1" applyFont="1" applyFill="1" applyBorder="1"/>
    <xf numFmtId="165" fontId="28" fillId="0" borderId="0" xfId="0" applyNumberFormat="1" applyFont="1"/>
    <xf numFmtId="165" fontId="34" fillId="0" borderId="0" xfId="0" applyNumberFormat="1" applyFont="1"/>
    <xf numFmtId="165" fontId="6" fillId="3" borderId="0" xfId="0" applyNumberFormat="1" applyFont="1" applyFill="1" applyAlignment="1">
      <alignment vertical="center"/>
    </xf>
    <xf numFmtId="4" fontId="6" fillId="3" borderId="23" xfId="0" applyNumberFormat="1" applyFont="1" applyFill="1" applyBorder="1"/>
    <xf numFmtId="165" fontId="25" fillId="4" borderId="0" xfId="0" applyNumberFormat="1" applyFont="1" applyFill="1"/>
    <xf numFmtId="0" fontId="0" fillId="0" borderId="0" xfId="1" applyNumberFormat="1" applyFont="1"/>
    <xf numFmtId="165" fontId="0" fillId="0" borderId="30" xfId="0" applyNumberFormat="1" applyBorder="1"/>
    <xf numFmtId="165" fontId="25" fillId="0" borderId="32" xfId="0" applyNumberFormat="1" applyFont="1" applyBorder="1"/>
    <xf numFmtId="165" fontId="25" fillId="4" borderId="58" xfId="0" applyNumberFormat="1" applyFont="1" applyFill="1" applyBorder="1"/>
    <xf numFmtId="165" fontId="25" fillId="0" borderId="58" xfId="0" applyNumberFormat="1" applyFont="1" applyBorder="1"/>
    <xf numFmtId="165" fontId="0" fillId="0" borderId="32" xfId="0" applyNumberFormat="1" applyBorder="1"/>
    <xf numFmtId="165" fontId="16" fillId="0" borderId="32" xfId="0" applyNumberFormat="1" applyFont="1" applyBorder="1"/>
    <xf numFmtId="165" fontId="16" fillId="0" borderId="58" xfId="0" applyNumberFormat="1" applyFont="1" applyBorder="1"/>
    <xf numFmtId="165" fontId="16" fillId="0" borderId="35" xfId="0" applyNumberFormat="1" applyFont="1" applyBorder="1"/>
    <xf numFmtId="0" fontId="0" fillId="4" borderId="0" xfId="1" applyNumberFormat="1" applyFont="1" applyFill="1"/>
    <xf numFmtId="165" fontId="34" fillId="4" borderId="0" xfId="0" applyNumberFormat="1" applyFont="1" applyFill="1"/>
    <xf numFmtId="165" fontId="34" fillId="4" borderId="32" xfId="0" applyNumberFormat="1" applyFont="1" applyFill="1" applyBorder="1"/>
    <xf numFmtId="165" fontId="36" fillId="0" borderId="0" xfId="0" applyNumberFormat="1" applyFont="1"/>
    <xf numFmtId="165" fontId="34" fillId="4" borderId="58" xfId="0" applyNumberFormat="1" applyFont="1" applyFill="1" applyBorder="1"/>
    <xf numFmtId="0" fontId="34" fillId="0" borderId="0" xfId="1" applyNumberFormat="1" applyFont="1"/>
    <xf numFmtId="165" fontId="35" fillId="4" borderId="0" xfId="7" applyNumberFormat="1" applyFill="1" applyAlignment="1" applyProtection="1"/>
    <xf numFmtId="0" fontId="0" fillId="3" borderId="0" xfId="0" applyFill="1"/>
    <xf numFmtId="49" fontId="0" fillId="3" borderId="0" xfId="0" applyNumberFormat="1" applyFill="1"/>
    <xf numFmtId="14" fontId="0" fillId="3" borderId="0" xfId="0" applyNumberFormat="1" applyFill="1"/>
    <xf numFmtId="165" fontId="0" fillId="3" borderId="0" xfId="0" applyNumberFormat="1" applyFill="1"/>
    <xf numFmtId="0" fontId="34" fillId="0" borderId="0" xfId="0" applyFont="1"/>
    <xf numFmtId="3" fontId="18" fillId="0" borderId="40" xfId="0" applyNumberFormat="1" applyFont="1" applyBorder="1" applyAlignment="1">
      <alignment horizontal="right" indent="1"/>
    </xf>
    <xf numFmtId="0" fontId="37" fillId="14" borderId="0" xfId="0" applyFont="1" applyFill="1"/>
    <xf numFmtId="0" fontId="2" fillId="15" borderId="0" xfId="0" applyFont="1" applyFill="1"/>
    <xf numFmtId="0" fontId="38" fillId="15" borderId="0" xfId="0" applyFont="1" applyFill="1"/>
    <xf numFmtId="0" fontId="38" fillId="15" borderId="72" xfId="0" applyFont="1" applyFill="1" applyBorder="1"/>
    <xf numFmtId="0" fontId="38" fillId="15" borderId="72" xfId="0" applyFont="1" applyFill="1" applyBorder="1" applyAlignment="1">
      <alignment horizontal="center" wrapText="1"/>
    </xf>
    <xf numFmtId="0" fontId="38" fillId="15" borderId="72" xfId="0" applyFont="1" applyFill="1" applyBorder="1" applyAlignment="1">
      <alignment horizontal="center"/>
    </xf>
    <xf numFmtId="0" fontId="38" fillId="0" borderId="0" xfId="0" applyFont="1"/>
    <xf numFmtId="0" fontId="38" fillId="16" borderId="0" xfId="0" applyFont="1" applyFill="1" applyAlignment="1">
      <alignment horizontal="center"/>
    </xf>
    <xf numFmtId="3" fontId="31" fillId="16" borderId="0" xfId="0" applyNumberFormat="1" applyFont="1" applyFill="1" applyAlignment="1">
      <alignment horizontal="center"/>
    </xf>
    <xf numFmtId="0" fontId="31" fillId="16" borderId="0" xfId="0" applyFont="1" applyFill="1" applyAlignment="1">
      <alignment horizontal="center"/>
    </xf>
    <xf numFmtId="3" fontId="31" fillId="16" borderId="0" xfId="0" applyNumberFormat="1" applyFont="1" applyFill="1" applyAlignment="1">
      <alignment horizontal="right"/>
    </xf>
    <xf numFmtId="0" fontId="38" fillId="17" borderId="0" xfId="0" applyFont="1" applyFill="1" applyAlignment="1">
      <alignment horizontal="center"/>
    </xf>
    <xf numFmtId="3" fontId="31" fillId="17" borderId="0" xfId="0" applyNumberFormat="1" applyFont="1" applyFill="1" applyAlignment="1">
      <alignment horizontal="center"/>
    </xf>
    <xf numFmtId="0" fontId="31" fillId="17" borderId="0" xfId="0" applyFont="1" applyFill="1" applyAlignment="1">
      <alignment horizontal="center"/>
    </xf>
    <xf numFmtId="3" fontId="31" fillId="17" borderId="0" xfId="0" applyNumberFormat="1" applyFont="1" applyFill="1" applyAlignment="1">
      <alignment horizontal="right"/>
    </xf>
    <xf numFmtId="0" fontId="38" fillId="18" borderId="0" xfId="0" applyFont="1" applyFill="1" applyAlignment="1">
      <alignment horizontal="center"/>
    </xf>
    <xf numFmtId="3" fontId="31" fillId="18" borderId="0" xfId="0" applyNumberFormat="1" applyFont="1" applyFill="1" applyAlignment="1">
      <alignment horizontal="center"/>
    </xf>
    <xf numFmtId="0" fontId="31" fillId="18" borderId="0" xfId="0" applyFont="1" applyFill="1" applyAlignment="1">
      <alignment horizontal="center"/>
    </xf>
    <xf numFmtId="3" fontId="31" fillId="18" borderId="0" xfId="0" applyNumberFormat="1" applyFont="1" applyFill="1" applyAlignment="1">
      <alignment horizontal="right"/>
    </xf>
    <xf numFmtId="0" fontId="38" fillId="19" borderId="0" xfId="0" applyFont="1" applyFill="1" applyAlignment="1">
      <alignment horizontal="center"/>
    </xf>
    <xf numFmtId="3" fontId="31" fillId="19" borderId="0" xfId="0" applyNumberFormat="1" applyFont="1" applyFill="1" applyAlignment="1">
      <alignment horizontal="center"/>
    </xf>
    <xf numFmtId="3" fontId="31" fillId="19" borderId="0" xfId="0" applyNumberFormat="1" applyFont="1" applyFill="1" applyAlignment="1">
      <alignment horizontal="right"/>
    </xf>
    <xf numFmtId="0" fontId="38" fillId="20" borderId="0" xfId="0" applyFont="1" applyFill="1" applyAlignment="1">
      <alignment horizontal="center"/>
    </xf>
    <xf numFmtId="3" fontId="31" fillId="20" borderId="0" xfId="0" applyNumberFormat="1" applyFont="1" applyFill="1" applyAlignment="1">
      <alignment horizontal="center"/>
    </xf>
    <xf numFmtId="0" fontId="31" fillId="20" borderId="0" xfId="0" applyFont="1" applyFill="1" applyAlignment="1">
      <alignment horizontal="center"/>
    </xf>
    <xf numFmtId="3" fontId="31" fillId="20" borderId="0" xfId="0" applyNumberFormat="1" applyFont="1" applyFill="1" applyAlignment="1">
      <alignment horizontal="right"/>
    </xf>
    <xf numFmtId="0" fontId="38" fillId="21" borderId="0" xfId="0" applyFont="1" applyFill="1" applyAlignment="1">
      <alignment horizontal="center"/>
    </xf>
    <xf numFmtId="0" fontId="31" fillId="21" borderId="0" xfId="0" applyFont="1" applyFill="1" applyAlignment="1">
      <alignment horizontal="center"/>
    </xf>
    <xf numFmtId="3" fontId="31" fillId="21" borderId="0" xfId="0" applyNumberFormat="1" applyFont="1" applyFill="1" applyAlignment="1">
      <alignment horizontal="center"/>
    </xf>
    <xf numFmtId="3" fontId="31" fillId="21" borderId="0" xfId="0" applyNumberFormat="1" applyFont="1" applyFill="1" applyAlignment="1">
      <alignment horizontal="right"/>
    </xf>
    <xf numFmtId="0" fontId="38" fillId="11" borderId="0" xfId="0" applyFont="1" applyFill="1" applyAlignment="1">
      <alignment horizontal="center"/>
    </xf>
    <xf numFmtId="0" fontId="31" fillId="11" borderId="0" xfId="0" applyFont="1" applyFill="1" applyAlignment="1">
      <alignment horizontal="center"/>
    </xf>
    <xf numFmtId="3" fontId="31" fillId="11" borderId="0" xfId="0" applyNumberFormat="1" applyFont="1" applyFill="1" applyAlignment="1">
      <alignment horizontal="center"/>
    </xf>
    <xf numFmtId="3" fontId="31" fillId="11" borderId="0" xfId="0" applyNumberFormat="1" applyFont="1" applyFill="1" applyAlignment="1">
      <alignment horizontal="right"/>
    </xf>
    <xf numFmtId="0" fontId="38" fillId="12" borderId="0" xfId="0" applyFont="1" applyFill="1" applyAlignment="1">
      <alignment horizontal="center"/>
    </xf>
    <xf numFmtId="0" fontId="31" fillId="12" borderId="0" xfId="0" applyFont="1" applyFill="1" applyAlignment="1">
      <alignment horizontal="center"/>
    </xf>
    <xf numFmtId="3" fontId="31" fillId="12" borderId="0" xfId="0" applyNumberFormat="1" applyFont="1" applyFill="1" applyAlignment="1">
      <alignment horizontal="center"/>
    </xf>
    <xf numFmtId="3" fontId="31" fillId="12" borderId="0" xfId="0" applyNumberFormat="1" applyFont="1" applyFill="1" applyAlignment="1">
      <alignment horizontal="right"/>
    </xf>
    <xf numFmtId="0" fontId="38" fillId="13" borderId="0" xfId="0" applyFont="1" applyFill="1" applyAlignment="1">
      <alignment horizontal="center"/>
    </xf>
    <xf numFmtId="3" fontId="31" fillId="13" borderId="0" xfId="0" applyNumberFormat="1" applyFont="1" applyFill="1" applyAlignment="1">
      <alignment horizontal="center"/>
    </xf>
    <xf numFmtId="3" fontId="31" fillId="13" borderId="0" xfId="0" applyNumberFormat="1" applyFont="1" applyFill="1" applyAlignment="1">
      <alignment horizontal="right"/>
    </xf>
    <xf numFmtId="0" fontId="38" fillId="22" borderId="0" xfId="0" applyFont="1" applyFill="1" applyAlignment="1">
      <alignment horizontal="center"/>
    </xf>
    <xf numFmtId="3" fontId="31" fillId="22" borderId="0" xfId="0" applyNumberFormat="1" applyFont="1" applyFill="1" applyAlignment="1">
      <alignment horizontal="center"/>
    </xf>
    <xf numFmtId="0" fontId="31" fillId="22" borderId="0" xfId="0" applyFont="1" applyFill="1" applyAlignment="1">
      <alignment horizontal="center"/>
    </xf>
    <xf numFmtId="3" fontId="31" fillId="22" borderId="0" xfId="0" applyNumberFormat="1" applyFont="1" applyFill="1" applyAlignment="1">
      <alignment horizontal="right"/>
    </xf>
    <xf numFmtId="0" fontId="38" fillId="23" borderId="0" xfId="0" applyFont="1" applyFill="1" applyAlignment="1">
      <alignment horizontal="center"/>
    </xf>
    <xf numFmtId="0" fontId="31" fillId="23" borderId="0" xfId="0" applyFont="1" applyFill="1" applyAlignment="1">
      <alignment horizontal="center"/>
    </xf>
    <xf numFmtId="3" fontId="31" fillId="23" borderId="0" xfId="0" applyNumberFormat="1" applyFont="1" applyFill="1" applyAlignment="1">
      <alignment horizontal="center"/>
    </xf>
    <xf numFmtId="3" fontId="31" fillId="23" borderId="0" xfId="0" applyNumberFormat="1" applyFont="1" applyFill="1" applyAlignment="1">
      <alignment horizontal="right"/>
    </xf>
    <xf numFmtId="14" fontId="31" fillId="0" borderId="0" xfId="0" applyNumberFormat="1" applyFont="1" applyAlignment="1">
      <alignment horizontal="center"/>
    </xf>
    <xf numFmtId="3" fontId="31" fillId="0" borderId="0" xfId="0" applyNumberFormat="1" applyFont="1" applyAlignment="1">
      <alignment horizontal="center"/>
    </xf>
    <xf numFmtId="3" fontId="31" fillId="0" borderId="0" xfId="0" applyNumberFormat="1" applyFont="1" applyAlignment="1">
      <alignment horizontal="right"/>
    </xf>
    <xf numFmtId="0" fontId="2" fillId="0" borderId="72" xfId="0" applyFont="1" applyBorder="1"/>
    <xf numFmtId="0" fontId="38" fillId="24" borderId="0" xfId="0" applyFont="1" applyFill="1" applyAlignment="1">
      <alignment horizontal="center"/>
    </xf>
    <xf numFmtId="3" fontId="38" fillId="24" borderId="0" xfId="0" applyNumberFormat="1" applyFont="1" applyFill="1" applyAlignment="1">
      <alignment horizontal="center"/>
    </xf>
    <xf numFmtId="3" fontId="38" fillId="24" borderId="0" xfId="0" applyNumberFormat="1" applyFont="1" applyFill="1" applyAlignment="1">
      <alignment horizontal="right"/>
    </xf>
    <xf numFmtId="0" fontId="38" fillId="23" borderId="73" xfId="0" applyFont="1" applyFill="1" applyBorder="1"/>
    <xf numFmtId="0" fontId="38" fillId="23" borderId="74" xfId="0" applyFont="1" applyFill="1" applyBorder="1"/>
    <xf numFmtId="3" fontId="38" fillId="23" borderId="74" xfId="0" applyNumberFormat="1" applyFont="1" applyFill="1" applyBorder="1" applyAlignment="1">
      <alignment horizontal="center"/>
    </xf>
    <xf numFmtId="3" fontId="38" fillId="23" borderId="74" xfId="0" applyNumberFormat="1" applyFont="1" applyFill="1" applyBorder="1" applyAlignment="1">
      <alignment horizontal="right"/>
    </xf>
    <xf numFmtId="0" fontId="31" fillId="19" borderId="0" xfId="0" applyFont="1" applyFill="1" applyAlignment="1">
      <alignment horizontal="center"/>
    </xf>
    <xf numFmtId="0" fontId="31" fillId="13" borderId="0" xfId="0" applyFont="1" applyFill="1" applyAlignment="1">
      <alignment horizontal="center"/>
    </xf>
    <xf numFmtId="0" fontId="38" fillId="23" borderId="73" xfId="0" applyFont="1" applyFill="1" applyBorder="1" applyAlignment="1">
      <alignment horizontal="center"/>
    </xf>
    <xf numFmtId="0" fontId="38" fillId="23" borderId="74" xfId="0" applyFont="1" applyFill="1" applyBorder="1" applyAlignment="1">
      <alignment horizontal="center"/>
    </xf>
    <xf numFmtId="0" fontId="25" fillId="0" borderId="75" xfId="0" applyFont="1" applyBorder="1"/>
    <xf numFmtId="4" fontId="25" fillId="0" borderId="75" xfId="0" applyNumberFormat="1" applyFont="1" applyBorder="1"/>
    <xf numFmtId="14" fontId="25" fillId="0" borderId="75" xfId="0" applyNumberFormat="1" applyFont="1" applyBorder="1"/>
    <xf numFmtId="165" fontId="25" fillId="0" borderId="75" xfId="0" applyNumberFormat="1" applyFont="1" applyBorder="1"/>
    <xf numFmtId="170" fontId="0" fillId="0" borderId="0" xfId="0" applyNumberFormat="1"/>
    <xf numFmtId="170" fontId="25" fillId="0" borderId="75" xfId="0" applyNumberFormat="1" applyFont="1" applyBorder="1"/>
    <xf numFmtId="0" fontId="25" fillId="5" borderId="75" xfId="0" applyFont="1" applyFill="1" applyBorder="1"/>
    <xf numFmtId="4" fontId="25" fillId="5" borderId="75" xfId="0" applyNumberFormat="1" applyFont="1" applyFill="1" applyBorder="1"/>
    <xf numFmtId="170" fontId="25" fillId="5" borderId="75" xfId="0" applyNumberFormat="1" applyFont="1" applyFill="1" applyBorder="1"/>
    <xf numFmtId="14" fontId="25" fillId="5" borderId="75" xfId="0" applyNumberFormat="1" applyFont="1" applyFill="1" applyBorder="1"/>
    <xf numFmtId="165" fontId="25" fillId="5" borderId="75" xfId="0" applyNumberFormat="1" applyFont="1" applyFill="1" applyBorder="1"/>
    <xf numFmtId="0" fontId="0" fillId="5" borderId="0" xfId="0" applyFill="1"/>
    <xf numFmtId="170" fontId="0" fillId="5" borderId="0" xfId="0" applyNumberFormat="1" applyFill="1"/>
    <xf numFmtId="4" fontId="0" fillId="5" borderId="0" xfId="0" applyNumberFormat="1" applyFill="1"/>
    <xf numFmtId="4" fontId="25" fillId="0" borderId="0" xfId="0" applyNumberFormat="1" applyFont="1"/>
    <xf numFmtId="4" fontId="34" fillId="0" borderId="0" xfId="0" applyNumberFormat="1" applyFont="1"/>
    <xf numFmtId="4" fontId="34" fillId="5" borderId="0" xfId="0" applyNumberFormat="1" applyFont="1" applyFill="1"/>
    <xf numFmtId="165" fontId="34" fillId="25" borderId="0" xfId="0" applyNumberFormat="1" applyFont="1" applyFill="1"/>
    <xf numFmtId="165" fontId="36" fillId="25" borderId="0" xfId="0" applyNumberFormat="1" applyFont="1" applyFill="1"/>
    <xf numFmtId="4" fontId="3" fillId="4" borderId="23" xfId="0" applyNumberFormat="1" applyFont="1" applyFill="1" applyBorder="1"/>
    <xf numFmtId="165" fontId="6" fillId="0" borderId="58" xfId="0" applyNumberFormat="1" applyFont="1" applyBorder="1"/>
    <xf numFmtId="169" fontId="6" fillId="0" borderId="10" xfId="0" applyNumberFormat="1" applyFont="1" applyBorder="1" applyAlignment="1">
      <alignment horizontal="left"/>
    </xf>
    <xf numFmtId="169" fontId="6" fillId="0" borderId="11" xfId="0" applyNumberFormat="1" applyFont="1" applyBorder="1" applyAlignment="1">
      <alignment horizontal="left"/>
    </xf>
    <xf numFmtId="4" fontId="6" fillId="0" borderId="39" xfId="0" applyNumberFormat="1" applyFont="1" applyBorder="1" applyAlignment="1">
      <alignment horizontal="center"/>
    </xf>
    <xf numFmtId="4" fontId="6" fillId="0" borderId="51" xfId="0" applyNumberFormat="1" applyFont="1" applyBorder="1" applyAlignment="1">
      <alignment horizontal="center"/>
    </xf>
    <xf numFmtId="169" fontId="6" fillId="0" borderId="10" xfId="0" applyNumberFormat="1" applyFont="1" applyBorder="1" applyAlignment="1">
      <alignment horizontal="center"/>
    </xf>
    <xf numFmtId="169" fontId="6" fillId="0" borderId="11" xfId="0" applyNumberFormat="1" applyFont="1" applyBorder="1" applyAlignment="1">
      <alignment horizontal="center"/>
    </xf>
    <xf numFmtId="169" fontId="4" fillId="0" borderId="10" xfId="0" applyNumberFormat="1" applyFont="1" applyBorder="1" applyAlignment="1">
      <alignment horizontal="center"/>
    </xf>
    <xf numFmtId="169" fontId="4" fillId="0" borderId="11" xfId="0" applyNumberFormat="1" applyFont="1" applyBorder="1" applyAlignment="1">
      <alignment horizontal="center"/>
    </xf>
    <xf numFmtId="169" fontId="4" fillId="0" borderId="14" xfId="0" applyNumberFormat="1" applyFont="1" applyBorder="1" applyAlignment="1">
      <alignment horizontal="center"/>
    </xf>
    <xf numFmtId="169" fontId="4" fillId="0" borderId="15" xfId="0" applyNumberFormat="1" applyFont="1" applyBorder="1" applyAlignment="1">
      <alignment horizontal="center"/>
    </xf>
    <xf numFmtId="169" fontId="4" fillId="0" borderId="0" xfId="0" applyNumberFormat="1" applyFont="1" applyAlignment="1">
      <alignment horizontal="center"/>
    </xf>
    <xf numFmtId="169" fontId="6" fillId="0" borderId="18" xfId="0" applyNumberFormat="1" applyFont="1" applyBorder="1" applyAlignment="1">
      <alignment horizontal="left"/>
    </xf>
    <xf numFmtId="169" fontId="6" fillId="0" borderId="19" xfId="0" applyNumberFormat="1" applyFont="1" applyBorder="1" applyAlignment="1">
      <alignment horizontal="left"/>
    </xf>
    <xf numFmtId="4" fontId="6" fillId="0" borderId="50" xfId="0" applyNumberFormat="1" applyFont="1" applyBorder="1" applyAlignment="1">
      <alignment horizontal="center"/>
    </xf>
    <xf numFmtId="4" fontId="6" fillId="0" borderId="48" xfId="0" applyNumberFormat="1" applyFont="1" applyBorder="1" applyAlignment="1">
      <alignment horizontal="center"/>
    </xf>
    <xf numFmtId="4" fontId="6" fillId="0" borderId="11" xfId="0" applyNumberFormat="1" applyFont="1" applyBorder="1" applyAlignment="1">
      <alignment horizontal="center"/>
    </xf>
    <xf numFmtId="4" fontId="6" fillId="0" borderId="19" xfId="0" applyNumberFormat="1" applyFont="1" applyBorder="1" applyAlignment="1">
      <alignment horizontal="center"/>
    </xf>
    <xf numFmtId="169" fontId="4" fillId="0" borderId="14" xfId="0" applyNumberFormat="1" applyFont="1" applyBorder="1" applyAlignment="1">
      <alignment horizontal="left" vertical="center" indent="2"/>
    </xf>
    <xf numFmtId="169" fontId="4" fillId="0" borderId="15" xfId="0" applyNumberFormat="1" applyFont="1" applyBorder="1" applyAlignment="1">
      <alignment horizontal="left" vertical="center" indent="2"/>
    </xf>
    <xf numFmtId="169" fontId="4" fillId="0" borderId="65" xfId="0" applyNumberFormat="1" applyFont="1" applyBorder="1" applyAlignment="1">
      <alignment horizontal="center" vertical="center"/>
    </xf>
    <xf numFmtId="169" fontId="4" fillId="0" borderId="36" xfId="0" applyNumberFormat="1" applyFont="1" applyBorder="1" applyAlignment="1">
      <alignment horizontal="center" vertical="center"/>
    </xf>
    <xf numFmtId="169" fontId="4" fillId="0" borderId="51" xfId="0" applyNumberFormat="1" applyFont="1" applyBorder="1" applyAlignment="1">
      <alignment horizontal="center" vertical="center"/>
    </xf>
    <xf numFmtId="169" fontId="6" fillId="0" borderId="14" xfId="0" applyNumberFormat="1" applyFont="1" applyBorder="1" applyAlignment="1">
      <alignment horizontal="left"/>
    </xf>
    <xf numFmtId="169" fontId="6" fillId="0" borderId="15" xfId="0" applyNumberFormat="1" applyFont="1" applyBorder="1" applyAlignment="1">
      <alignment horizontal="left"/>
    </xf>
    <xf numFmtId="4" fontId="6" fillId="0" borderId="15" xfId="0" applyNumberFormat="1" applyFont="1" applyBorder="1" applyAlignment="1">
      <alignment horizontal="center"/>
    </xf>
    <xf numFmtId="169" fontId="4" fillId="0" borderId="5" xfId="0" applyNumberFormat="1" applyFont="1" applyBorder="1" applyAlignment="1">
      <alignment horizontal="center"/>
    </xf>
    <xf numFmtId="169" fontId="4" fillId="0" borderId="6" xfId="0" applyNumberFormat="1" applyFont="1" applyBorder="1" applyAlignment="1">
      <alignment horizontal="center"/>
    </xf>
    <xf numFmtId="169" fontId="4" fillId="0" borderId="71" xfId="0" applyNumberFormat="1" applyFont="1" applyBorder="1" applyAlignment="1">
      <alignment horizontal="left" vertical="center" indent="2"/>
    </xf>
    <xf numFmtId="169" fontId="4" fillId="0" borderId="37" xfId="0" applyNumberFormat="1" applyFont="1" applyBorder="1" applyAlignment="1">
      <alignment horizontal="left" vertical="center" indent="2"/>
    </xf>
    <xf numFmtId="169" fontId="4" fillId="0" borderId="70" xfId="0" applyNumberFormat="1" applyFont="1" applyBorder="1" applyAlignment="1">
      <alignment horizontal="left" vertical="center" indent="2"/>
    </xf>
    <xf numFmtId="169" fontId="4" fillId="0" borderId="10" xfId="0" applyNumberFormat="1" applyFont="1" applyBorder="1" applyAlignment="1">
      <alignment horizontal="left" vertical="center" indent="2"/>
    </xf>
    <xf numFmtId="169" fontId="4" fillId="0" borderId="11" xfId="0" applyNumberFormat="1" applyFont="1" applyBorder="1" applyAlignment="1">
      <alignment horizontal="left" vertical="center" indent="2"/>
    </xf>
    <xf numFmtId="169" fontId="4" fillId="0" borderId="10" xfId="0" applyNumberFormat="1" applyFont="1" applyBorder="1" applyAlignment="1">
      <alignment horizontal="center" vertical="center"/>
    </xf>
    <xf numFmtId="169" fontId="4" fillId="0" borderId="11" xfId="0" applyNumberFormat="1" applyFont="1" applyBorder="1" applyAlignment="1">
      <alignment horizontal="center" vertical="center"/>
    </xf>
    <xf numFmtId="169" fontId="4" fillId="0" borderId="14" xfId="0" applyNumberFormat="1" applyFont="1" applyBorder="1" applyAlignment="1">
      <alignment horizontal="center" vertical="center"/>
    </xf>
    <xf numFmtId="169" fontId="4" fillId="0" borderId="15" xfId="0" applyNumberFormat="1" applyFont="1" applyBorder="1" applyAlignment="1">
      <alignment horizontal="center" vertical="center"/>
    </xf>
    <xf numFmtId="169" fontId="6" fillId="0" borderId="65" xfId="0" applyNumberFormat="1" applyFont="1" applyBorder="1" applyAlignment="1">
      <alignment horizontal="left"/>
    </xf>
    <xf numFmtId="169" fontId="6" fillId="0" borderId="51" xfId="0" applyNumberFormat="1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4" xfId="0" applyBorder="1" applyAlignment="1">
      <alignment horizontal="center"/>
    </xf>
    <xf numFmtId="3" fontId="9" fillId="5" borderId="5" xfId="0" applyNumberFormat="1" applyFont="1" applyFill="1" applyBorder="1" applyAlignment="1">
      <alignment horizontal="center"/>
    </xf>
    <xf numFmtId="3" fontId="9" fillId="5" borderId="3" xfId="0" applyNumberFormat="1" applyFont="1" applyFill="1" applyBorder="1" applyAlignment="1">
      <alignment horizontal="center"/>
    </xf>
    <xf numFmtId="3" fontId="9" fillId="5" borderId="6" xfId="0" applyNumberFormat="1" applyFont="1" applyFill="1" applyBorder="1" applyAlignment="1">
      <alignment horizontal="center"/>
    </xf>
    <xf numFmtId="3" fontId="9" fillId="5" borderId="43" xfId="0" applyNumberFormat="1" applyFont="1" applyFill="1" applyBorder="1" applyAlignment="1">
      <alignment horizontal="center"/>
    </xf>
    <xf numFmtId="3" fontId="9" fillId="5" borderId="7" xfId="0" applyNumberFormat="1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3" fontId="9" fillId="5" borderId="44" xfId="0" applyNumberFormat="1" applyFont="1" applyFill="1" applyBorder="1" applyAlignment="1">
      <alignment horizontal="center"/>
    </xf>
    <xf numFmtId="4" fontId="6" fillId="0" borderId="22" xfId="0" applyNumberFormat="1" applyFont="1" applyBorder="1" applyAlignment="1">
      <alignment horizontal="right" vertical="center"/>
    </xf>
    <xf numFmtId="4" fontId="6" fillId="0" borderId="60" xfId="0" applyNumberFormat="1" applyFont="1" applyBorder="1" applyAlignment="1">
      <alignment horizontal="right" vertical="center"/>
    </xf>
    <xf numFmtId="4" fontId="6" fillId="0" borderId="38" xfId="0" applyNumberFormat="1" applyFont="1" applyBorder="1" applyAlignment="1">
      <alignment horizontal="right" vertical="center"/>
    </xf>
    <xf numFmtId="0" fontId="4" fillId="0" borderId="52" xfId="0" applyFont="1" applyBorder="1" applyAlignment="1">
      <alignment horizontal="center"/>
    </xf>
    <xf numFmtId="0" fontId="4" fillId="0" borderId="53" xfId="0" applyFont="1" applyBorder="1" applyAlignment="1">
      <alignment horizontal="center"/>
    </xf>
    <xf numFmtId="0" fontId="6" fillId="0" borderId="8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44" xfId="0" applyFont="1" applyBorder="1" applyAlignment="1">
      <alignment horizontal="center"/>
    </xf>
    <xf numFmtId="0" fontId="20" fillId="9" borderId="5" xfId="0" applyFont="1" applyFill="1" applyBorder="1" applyAlignment="1">
      <alignment horizontal="center"/>
    </xf>
    <xf numFmtId="0" fontId="20" fillId="9" borderId="6" xfId="0" applyFont="1" applyFill="1" applyBorder="1" applyAlignment="1">
      <alignment horizontal="center"/>
    </xf>
    <xf numFmtId="0" fontId="20" fillId="9" borderId="43" xfId="0" applyFont="1" applyFill="1" applyBorder="1" applyAlignment="1">
      <alignment horizontal="center"/>
    </xf>
    <xf numFmtId="0" fontId="20" fillId="9" borderId="7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3" fontId="6" fillId="4" borderId="10" xfId="0" applyNumberFormat="1" applyFont="1" applyFill="1" applyBorder="1" applyAlignment="1">
      <alignment horizontal="center"/>
    </xf>
    <xf numFmtId="3" fontId="6" fillId="4" borderId="12" xfId="0" applyNumberFormat="1" applyFont="1" applyFill="1" applyBorder="1" applyAlignment="1">
      <alignment horizontal="center"/>
    </xf>
    <xf numFmtId="3" fontId="6" fillId="4" borderId="18" xfId="0" applyNumberFormat="1" applyFont="1" applyFill="1" applyBorder="1" applyAlignment="1">
      <alignment horizontal="center"/>
    </xf>
    <xf numFmtId="3" fontId="6" fillId="4" borderId="20" xfId="0" applyNumberFormat="1" applyFont="1" applyFill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" fontId="4" fillId="0" borderId="43" xfId="0" applyNumberFormat="1" applyFont="1" applyBorder="1" applyAlignment="1">
      <alignment horizontal="center"/>
    </xf>
    <xf numFmtId="4" fontId="4" fillId="0" borderId="44" xfId="0" applyNumberFormat="1" applyFont="1" applyBorder="1" applyAlignment="1">
      <alignment horizontal="center"/>
    </xf>
    <xf numFmtId="11" fontId="4" fillId="0" borderId="43" xfId="0" applyNumberFormat="1" applyFont="1" applyBorder="1" applyAlignment="1">
      <alignment horizontal="center"/>
    </xf>
    <xf numFmtId="11" fontId="4" fillId="0" borderId="44" xfId="0" applyNumberFormat="1" applyFont="1" applyBorder="1" applyAlignment="1">
      <alignment horizontal="center"/>
    </xf>
    <xf numFmtId="4" fontId="4" fillId="0" borderId="39" xfId="0" applyNumberFormat="1" applyFont="1" applyBorder="1" applyAlignment="1">
      <alignment horizontal="center"/>
    </xf>
    <xf numFmtId="4" fontId="4" fillId="0" borderId="40" xfId="0" applyNumberFormat="1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166" fontId="4" fillId="2" borderId="1" xfId="0" applyNumberFormat="1" applyFont="1" applyFill="1" applyBorder="1" applyAlignment="1">
      <alignment horizontal="center" vertical="center"/>
    </xf>
    <xf numFmtId="166" fontId="4" fillId="2" borderId="4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/>
    </xf>
    <xf numFmtId="166" fontId="4" fillId="2" borderId="27" xfId="0" applyNumberFormat="1" applyFont="1" applyFill="1" applyBorder="1" applyAlignment="1">
      <alignment horizontal="center"/>
    </xf>
    <xf numFmtId="166" fontId="4" fillId="2" borderId="27" xfId="0" applyNumberFormat="1" applyFont="1" applyFill="1" applyBorder="1" applyAlignment="1">
      <alignment horizontal="center" vertical="center"/>
    </xf>
    <xf numFmtId="169" fontId="4" fillId="0" borderId="30" xfId="0" applyNumberFormat="1" applyFont="1" applyBorder="1" applyAlignment="1">
      <alignment horizontal="center"/>
    </xf>
    <xf numFmtId="169" fontId="4" fillId="0" borderId="31" xfId="0" applyNumberFormat="1" applyFont="1" applyBorder="1" applyAlignment="1">
      <alignment horizontal="center"/>
    </xf>
    <xf numFmtId="169" fontId="4" fillId="0" borderId="57" xfId="0" applyNumberFormat="1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22" fillId="6" borderId="0" xfId="6" applyFont="1" applyFill="1" applyAlignment="1">
      <alignment horizontal="center"/>
    </xf>
    <xf numFmtId="4" fontId="6" fillId="0" borderId="22" xfId="0" applyNumberFormat="1" applyFont="1" applyBorder="1" applyAlignment="1">
      <alignment horizontal="center" vertical="center"/>
    </xf>
    <xf numFmtId="4" fontId="6" fillId="0" borderId="60" xfId="0" applyNumberFormat="1" applyFont="1" applyBorder="1" applyAlignment="1">
      <alignment horizontal="center" vertical="center"/>
    </xf>
    <xf numFmtId="4" fontId="6" fillId="0" borderId="38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6" fillId="0" borderId="1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11" xfId="0" applyNumberFormat="1" applyFont="1" applyBorder="1" applyAlignment="1">
      <alignment horizontal="right" vertical="center"/>
    </xf>
    <xf numFmtId="4" fontId="6" fillId="0" borderId="15" xfId="0" applyNumberFormat="1" applyFont="1" applyBorder="1" applyAlignment="1">
      <alignment horizontal="right" vertical="center"/>
    </xf>
    <xf numFmtId="165" fontId="6" fillId="0" borderId="19" xfId="0" applyNumberFormat="1" applyFont="1" applyBorder="1" applyAlignment="1">
      <alignment horizontal="right" vertical="center"/>
    </xf>
    <xf numFmtId="165" fontId="6" fillId="0" borderId="11" xfId="0" applyNumberFormat="1" applyFont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20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165" fontId="6" fillId="0" borderId="16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4" fontId="6" fillId="0" borderId="53" xfId="0" applyNumberFormat="1" applyFont="1" applyBorder="1" applyAlignment="1">
      <alignment horizontal="center" vertical="center"/>
    </xf>
    <xf numFmtId="165" fontId="6" fillId="0" borderId="22" xfId="0" applyNumberFormat="1" applyFont="1" applyBorder="1" applyAlignment="1">
      <alignment horizontal="center" vertical="center"/>
    </xf>
    <xf numFmtId="165" fontId="6" fillId="0" borderId="60" xfId="0" applyNumberFormat="1" applyFont="1" applyBorder="1" applyAlignment="1">
      <alignment horizontal="center" vertical="center"/>
    </xf>
    <xf numFmtId="165" fontId="6" fillId="0" borderId="53" xfId="0" applyNumberFormat="1" applyFont="1" applyBorder="1" applyAlignment="1">
      <alignment horizontal="center" vertical="center"/>
    </xf>
    <xf numFmtId="165" fontId="6" fillId="0" borderId="69" xfId="0" applyNumberFormat="1" applyFont="1" applyBorder="1" applyAlignment="1">
      <alignment horizontal="center" vertical="center"/>
    </xf>
    <xf numFmtId="165" fontId="6" fillId="0" borderId="61" xfId="0" applyNumberFormat="1" applyFont="1" applyBorder="1" applyAlignment="1">
      <alignment horizontal="center" vertical="center"/>
    </xf>
    <xf numFmtId="165" fontId="6" fillId="0" borderId="54" xfId="0" applyNumberFormat="1" applyFon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/>
    </xf>
    <xf numFmtId="165" fontId="0" fillId="0" borderId="61" xfId="0" applyNumberFormat="1" applyBorder="1" applyAlignment="1">
      <alignment horizontal="center" vertical="center"/>
    </xf>
    <xf numFmtId="165" fontId="0" fillId="0" borderId="54" xfId="0" applyNumberFormat="1" applyBorder="1" applyAlignment="1">
      <alignment horizontal="center" vertical="center"/>
    </xf>
    <xf numFmtId="169" fontId="6" fillId="0" borderId="18" xfId="0" applyNumberFormat="1" applyFont="1" applyBorder="1" applyAlignment="1">
      <alignment horizontal="center" vertical="center"/>
    </xf>
    <xf numFmtId="169" fontId="6" fillId="0" borderId="10" xfId="0" applyNumberFormat="1" applyFont="1" applyBorder="1" applyAlignment="1">
      <alignment horizontal="center" vertical="center"/>
    </xf>
    <xf numFmtId="169" fontId="6" fillId="0" borderId="14" xfId="0" applyNumberFormat="1" applyFont="1" applyBorder="1" applyAlignment="1">
      <alignment horizontal="center" vertical="center"/>
    </xf>
    <xf numFmtId="169" fontId="6" fillId="0" borderId="8" xfId="0" applyNumberFormat="1" applyFont="1" applyBorder="1" applyAlignment="1">
      <alignment horizontal="center" vertical="center"/>
    </xf>
    <xf numFmtId="169" fontId="6" fillId="0" borderId="66" xfId="0" applyNumberFormat="1" applyFont="1" applyBorder="1" applyAlignment="1">
      <alignment horizontal="center" vertical="center"/>
    </xf>
    <xf numFmtId="169" fontId="6" fillId="0" borderId="52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4" fontId="0" fillId="0" borderId="22" xfId="0" applyNumberFormat="1" applyBorder="1" applyAlignment="1">
      <alignment horizontal="center" vertical="center"/>
    </xf>
    <xf numFmtId="4" fontId="0" fillId="0" borderId="60" xfId="0" applyNumberFormat="1" applyBorder="1" applyAlignment="1">
      <alignment horizontal="center" vertical="center"/>
    </xf>
    <xf numFmtId="4" fontId="0" fillId="0" borderId="53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60" xfId="0" applyNumberFormat="1" applyBorder="1" applyAlignment="1">
      <alignment horizontal="center" vertical="center"/>
    </xf>
    <xf numFmtId="165" fontId="0" fillId="0" borderId="53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/>
    </xf>
    <xf numFmtId="165" fontId="0" fillId="0" borderId="57" xfId="0" applyNumberFormat="1" applyBorder="1" applyAlignment="1">
      <alignment horizontal="center"/>
    </xf>
    <xf numFmtId="165" fontId="16" fillId="0" borderId="35" xfId="0" applyNumberFormat="1" applyFont="1" applyBorder="1" applyAlignment="1">
      <alignment horizontal="center"/>
    </xf>
    <xf numFmtId="165" fontId="16" fillId="0" borderId="34" xfId="0" applyNumberFormat="1" applyFont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16" fillId="0" borderId="21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31" xfId="0" applyNumberFormat="1" applyBorder="1" applyAlignment="1">
      <alignment horizontal="center"/>
    </xf>
  </cellXfs>
  <cellStyles count="8">
    <cellStyle name="Lien hypertexte" xfId="7" builtinId="8"/>
    <cellStyle name="Milliers" xfId="1" builtinId="3"/>
    <cellStyle name="Milliers 2" xfId="2" xr:uid="{00000000-0005-0000-0000-000002000000}"/>
    <cellStyle name="Normal" xfId="0" builtinId="0"/>
    <cellStyle name="Normal 2" xfId="3" xr:uid="{00000000-0005-0000-0000-000004000000}"/>
    <cellStyle name="Normal_NOUR" xfId="6" xr:uid="{00000000-0005-0000-0000-000005000000}"/>
    <cellStyle name="Pourcentage" xfId="5" builtinId="5"/>
    <cellStyle name="Pourcentage 2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opLeftCell="A16" zoomScaleNormal="100" workbookViewId="0">
      <selection activeCell="L33" sqref="L33"/>
    </sheetView>
  </sheetViews>
  <sheetFormatPr baseColWidth="10" defaultRowHeight="15" x14ac:dyDescent="0.25"/>
  <cols>
    <col min="1" max="1" width="10.140625" bestFit="1" customWidth="1"/>
    <col min="2" max="2" width="16.42578125" bestFit="1" customWidth="1"/>
    <col min="3" max="3" width="3.42578125" bestFit="1" customWidth="1"/>
    <col min="4" max="4" width="9.7109375" customWidth="1"/>
    <col min="5" max="5" width="5.7109375" bestFit="1" customWidth="1"/>
    <col min="6" max="6" width="12.28515625" bestFit="1" customWidth="1"/>
    <col min="7" max="7" width="10.85546875" bestFit="1" customWidth="1"/>
    <col min="8" max="8" width="12.28515625" bestFit="1" customWidth="1"/>
    <col min="11" max="11" width="12.42578125" style="28" bestFit="1" customWidth="1"/>
    <col min="13" max="13" width="12.42578125" style="28" bestFit="1" customWidth="1"/>
  </cols>
  <sheetData>
    <row r="1" spans="1:8" x14ac:dyDescent="0.25">
      <c r="A1" s="914" t="s">
        <v>648</v>
      </c>
      <c r="B1" s="914"/>
      <c r="C1" s="914"/>
      <c r="D1" s="914"/>
      <c r="E1" s="914"/>
      <c r="F1" s="914"/>
      <c r="G1" s="914"/>
      <c r="H1" s="914"/>
    </row>
    <row r="2" spans="1:8" ht="15.75" thickBot="1" x14ac:dyDescent="0.3">
      <c r="A2" s="250"/>
      <c r="B2" s="15"/>
      <c r="C2" s="263"/>
      <c r="D2" s="180"/>
      <c r="E2" s="187"/>
      <c r="F2" s="187"/>
      <c r="G2" s="187"/>
      <c r="H2" s="187"/>
    </row>
    <row r="3" spans="1:8" x14ac:dyDescent="0.25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v>0</v>
      </c>
    </row>
    <row r="4" spans="1:8" x14ac:dyDescent="0.25">
      <c r="A4" s="904" t="s">
        <v>244</v>
      </c>
      <c r="B4" s="905"/>
      <c r="C4" s="316" t="s">
        <v>167</v>
      </c>
      <c r="D4" s="906">
        <f>SUM(D12:D27)</f>
        <v>475623</v>
      </c>
      <c r="E4" s="907"/>
      <c r="F4" s="189">
        <f>SUM(F12:F27)</f>
        <v>907495.1</v>
      </c>
      <c r="G4" s="189">
        <f>SUM(G12:G27)</f>
        <v>172424.06900000002</v>
      </c>
      <c r="H4" s="317">
        <f>SUM(H12:H27)</f>
        <v>1079928.7689999999</v>
      </c>
    </row>
    <row r="5" spans="1:8" x14ac:dyDescent="0.25">
      <c r="A5" s="904" t="s">
        <v>245</v>
      </c>
      <c r="B5" s="905"/>
      <c r="C5" s="316" t="s">
        <v>167</v>
      </c>
      <c r="D5" s="906">
        <f>+D28</f>
        <v>646</v>
      </c>
      <c r="E5" s="907"/>
      <c r="F5" s="189">
        <f t="shared" ref="F5:H6" si="0">+F28</f>
        <v>17765</v>
      </c>
      <c r="G5" s="189">
        <f t="shared" si="0"/>
        <v>3375.35</v>
      </c>
      <c r="H5" s="317">
        <f t="shared" si="0"/>
        <v>21140.35</v>
      </c>
    </row>
    <row r="6" spans="1:8" x14ac:dyDescent="0.25">
      <c r="A6" s="904" t="s">
        <v>923</v>
      </c>
      <c r="B6" s="905"/>
      <c r="C6" s="316" t="s">
        <v>167</v>
      </c>
      <c r="D6" s="906">
        <f>+D29</f>
        <v>2557</v>
      </c>
      <c r="E6" s="907"/>
      <c r="F6" s="189">
        <f t="shared" si="0"/>
        <v>25570</v>
      </c>
      <c r="G6" s="189">
        <f t="shared" si="0"/>
        <v>4858.3</v>
      </c>
      <c r="H6" s="317">
        <f t="shared" si="0"/>
        <v>30428.899999999998</v>
      </c>
    </row>
    <row r="7" spans="1:8" x14ac:dyDescent="0.25">
      <c r="A7" s="904" t="s">
        <v>246</v>
      </c>
      <c r="B7" s="905"/>
      <c r="C7" s="316" t="s">
        <v>167</v>
      </c>
      <c r="D7" s="906">
        <f>SUM(D30:D52)</f>
        <v>416055</v>
      </c>
      <c r="E7" s="907"/>
      <c r="F7" s="189">
        <f>SUM(F30:F52)</f>
        <v>1954161.1</v>
      </c>
      <c r="G7" s="189">
        <f>SUM(G30:G52)</f>
        <v>371290.609</v>
      </c>
      <c r="H7" s="317">
        <f>SUM(H30:H52)</f>
        <v>2325465.5090000005</v>
      </c>
    </row>
    <row r="8" spans="1:8" x14ac:dyDescent="0.25">
      <c r="A8" s="908" t="s">
        <v>76</v>
      </c>
      <c r="B8" s="909"/>
      <c r="C8" s="909"/>
      <c r="D8" s="909"/>
      <c r="E8" s="909"/>
      <c r="F8" s="189">
        <f>SUM(F3:F7)</f>
        <v>2904991.2</v>
      </c>
      <c r="G8" s="189">
        <f>SUM(G3:G7)</f>
        <v>551948.32799999998</v>
      </c>
      <c r="H8" s="317">
        <f>SUM(H3:H7)</f>
        <v>3456963.5280000004</v>
      </c>
    </row>
    <row r="9" spans="1:8" x14ac:dyDescent="0.25">
      <c r="A9" s="910" t="s">
        <v>247</v>
      </c>
      <c r="B9" s="911"/>
      <c r="C9" s="911"/>
      <c r="D9" s="911"/>
      <c r="E9" s="911"/>
      <c r="F9" s="911"/>
      <c r="G9" s="911"/>
      <c r="H9" s="317">
        <f>3125154.018+H24+H25+H26+H28+H29+H27</f>
        <v>3456963.5280000004</v>
      </c>
    </row>
    <row r="10" spans="1:8" ht="15.75" thickBot="1" x14ac:dyDescent="0.3">
      <c r="A10" s="912" t="s">
        <v>248</v>
      </c>
      <c r="B10" s="913"/>
      <c r="C10" s="913"/>
      <c r="D10" s="913"/>
      <c r="E10" s="913"/>
      <c r="F10" s="913"/>
      <c r="G10" s="913"/>
      <c r="H10" s="694">
        <f>+H8-H9</f>
        <v>0</v>
      </c>
    </row>
    <row r="11" spans="1:8" ht="15.75" thickBot="1" x14ac:dyDescent="0.3">
      <c r="A11" s="15"/>
      <c r="B11" s="15"/>
      <c r="C11" s="15"/>
      <c r="D11" s="15"/>
      <c r="E11" s="15"/>
      <c r="F11" s="15"/>
      <c r="G11" s="15"/>
      <c r="H11" s="15"/>
    </row>
    <row r="12" spans="1:8" x14ac:dyDescent="0.25">
      <c r="A12" s="541">
        <v>43481</v>
      </c>
      <c r="B12" s="542" t="s">
        <v>768</v>
      </c>
      <c r="C12" s="543" t="s">
        <v>167</v>
      </c>
      <c r="D12" s="544">
        <v>33120</v>
      </c>
      <c r="E12" s="545">
        <v>1.8</v>
      </c>
      <c r="F12" s="545">
        <f t="shared" ref="F12:F20" si="1">+D12*E12</f>
        <v>59616</v>
      </c>
      <c r="G12" s="545">
        <f t="shared" ref="G12:G20" si="2">+F12*0.19</f>
        <v>11327.04</v>
      </c>
      <c r="H12" s="546">
        <f t="shared" ref="H12:H20" si="3">+F12+G12+0.6</f>
        <v>70943.640000000014</v>
      </c>
    </row>
    <row r="13" spans="1:8" x14ac:dyDescent="0.25">
      <c r="A13" s="547">
        <v>43494</v>
      </c>
      <c r="B13" s="548" t="s">
        <v>768</v>
      </c>
      <c r="C13" s="549" t="s">
        <v>167</v>
      </c>
      <c r="D13" s="550">
        <v>35360</v>
      </c>
      <c r="E13" s="551">
        <v>1.8</v>
      </c>
      <c r="F13" s="551">
        <f t="shared" si="1"/>
        <v>63648</v>
      </c>
      <c r="G13" s="551">
        <f t="shared" si="2"/>
        <v>12093.12</v>
      </c>
      <c r="H13" s="552">
        <f t="shared" si="3"/>
        <v>75741.72</v>
      </c>
    </row>
    <row r="14" spans="1:8" x14ac:dyDescent="0.25">
      <c r="A14" s="547">
        <v>43500</v>
      </c>
      <c r="B14" s="548" t="s">
        <v>768</v>
      </c>
      <c r="C14" s="549" t="s">
        <v>167</v>
      </c>
      <c r="D14" s="550">
        <v>37000</v>
      </c>
      <c r="E14" s="551">
        <v>1.8</v>
      </c>
      <c r="F14" s="551">
        <f t="shared" si="1"/>
        <v>66600</v>
      </c>
      <c r="G14" s="551">
        <f t="shared" si="2"/>
        <v>12654</v>
      </c>
      <c r="H14" s="552">
        <f t="shared" si="3"/>
        <v>79254.600000000006</v>
      </c>
    </row>
    <row r="15" spans="1:8" x14ac:dyDescent="0.25">
      <c r="A15" s="547">
        <v>43503</v>
      </c>
      <c r="B15" s="548" t="s">
        <v>768</v>
      </c>
      <c r="C15" s="549" t="s">
        <v>167</v>
      </c>
      <c r="D15" s="550">
        <v>29765</v>
      </c>
      <c r="E15" s="551">
        <v>1.8</v>
      </c>
      <c r="F15" s="551">
        <f t="shared" si="1"/>
        <v>53577</v>
      </c>
      <c r="G15" s="551">
        <f t="shared" si="2"/>
        <v>10179.630000000001</v>
      </c>
      <c r="H15" s="552">
        <f t="shared" si="3"/>
        <v>63757.23</v>
      </c>
    </row>
    <row r="16" spans="1:8" x14ac:dyDescent="0.25">
      <c r="A16" s="547">
        <v>43508</v>
      </c>
      <c r="B16" s="548" t="s">
        <v>768</v>
      </c>
      <c r="C16" s="549" t="s">
        <v>167</v>
      </c>
      <c r="D16" s="550">
        <v>18740</v>
      </c>
      <c r="E16" s="551">
        <v>1.8</v>
      </c>
      <c r="F16" s="551">
        <f t="shared" si="1"/>
        <v>33732</v>
      </c>
      <c r="G16" s="551">
        <f t="shared" si="2"/>
        <v>6409.08</v>
      </c>
      <c r="H16" s="552">
        <f t="shared" si="3"/>
        <v>40141.68</v>
      </c>
    </row>
    <row r="17" spans="1:13" s="396" customFormat="1" x14ac:dyDescent="0.25">
      <c r="A17" s="547">
        <v>43515</v>
      </c>
      <c r="B17" s="548" t="s">
        <v>768</v>
      </c>
      <c r="C17" s="549" t="s">
        <v>167</v>
      </c>
      <c r="D17" s="550">
        <v>32181</v>
      </c>
      <c r="E17" s="551">
        <v>1.8</v>
      </c>
      <c r="F17" s="551">
        <f t="shared" si="1"/>
        <v>57925.8</v>
      </c>
      <c r="G17" s="551">
        <f t="shared" si="2"/>
        <v>11005.902</v>
      </c>
      <c r="H17" s="552">
        <f t="shared" si="3"/>
        <v>68932.302000000011</v>
      </c>
      <c r="K17" s="553"/>
      <c r="M17" s="553"/>
    </row>
    <row r="18" spans="1:13" s="396" customFormat="1" x14ac:dyDescent="0.25">
      <c r="A18" s="547">
        <v>43522</v>
      </c>
      <c r="B18" s="548" t="s">
        <v>768</v>
      </c>
      <c r="C18" s="549" t="s">
        <v>167</v>
      </c>
      <c r="D18" s="550">
        <v>36440</v>
      </c>
      <c r="E18" s="551">
        <v>1.9</v>
      </c>
      <c r="F18" s="551">
        <f t="shared" si="1"/>
        <v>69236</v>
      </c>
      <c r="G18" s="551">
        <f t="shared" si="2"/>
        <v>13154.84</v>
      </c>
      <c r="H18" s="552">
        <f t="shared" si="3"/>
        <v>82391.44</v>
      </c>
      <c r="K18" s="553"/>
      <c r="M18" s="553"/>
    </row>
    <row r="19" spans="1:13" s="396" customFormat="1" x14ac:dyDescent="0.25">
      <c r="A19" s="547">
        <v>43536</v>
      </c>
      <c r="B19" s="548" t="s">
        <v>768</v>
      </c>
      <c r="C19" s="549" t="s">
        <v>167</v>
      </c>
      <c r="D19" s="550">
        <v>30263</v>
      </c>
      <c r="E19" s="551">
        <v>1.9</v>
      </c>
      <c r="F19" s="551">
        <f t="shared" si="1"/>
        <v>57499.7</v>
      </c>
      <c r="G19" s="551">
        <f t="shared" si="2"/>
        <v>10924.942999999999</v>
      </c>
      <c r="H19" s="552">
        <f t="shared" si="3"/>
        <v>68425.243000000002</v>
      </c>
      <c r="K19" s="553"/>
      <c r="M19" s="553"/>
    </row>
    <row r="20" spans="1:13" s="396" customFormat="1" x14ac:dyDescent="0.25">
      <c r="A20" s="547">
        <v>43545</v>
      </c>
      <c r="B20" s="548" t="s">
        <v>768</v>
      </c>
      <c r="C20" s="549" t="s">
        <v>167</v>
      </c>
      <c r="D20" s="550">
        <v>31690</v>
      </c>
      <c r="E20" s="551">
        <v>1.9</v>
      </c>
      <c r="F20" s="551">
        <f t="shared" si="1"/>
        <v>60211</v>
      </c>
      <c r="G20" s="551">
        <f t="shared" si="2"/>
        <v>11440.09</v>
      </c>
      <c r="H20" s="552">
        <f t="shared" si="3"/>
        <v>71651.69</v>
      </c>
      <c r="K20" s="553"/>
      <c r="M20" s="553"/>
    </row>
    <row r="21" spans="1:13" s="396" customFormat="1" x14ac:dyDescent="0.25">
      <c r="A21" s="547">
        <v>43556</v>
      </c>
      <c r="B21" s="548" t="s">
        <v>768</v>
      </c>
      <c r="C21" s="549" t="s">
        <v>167</v>
      </c>
      <c r="D21" s="550">
        <v>29600</v>
      </c>
      <c r="E21" s="551">
        <v>1.9</v>
      </c>
      <c r="F21" s="551">
        <f t="shared" ref="F21:F28" si="4">+D21*E21</f>
        <v>56240</v>
      </c>
      <c r="G21" s="551">
        <f t="shared" ref="G21:G28" si="5">+F21*0.19</f>
        <v>10685.6</v>
      </c>
      <c r="H21" s="552">
        <f t="shared" ref="H21:H27" si="6">+F21+G21+0.6</f>
        <v>66926.200000000012</v>
      </c>
      <c r="K21" s="553"/>
      <c r="M21" s="553"/>
    </row>
    <row r="22" spans="1:13" s="396" customFormat="1" x14ac:dyDescent="0.25">
      <c r="A22" s="547">
        <v>43576</v>
      </c>
      <c r="B22" s="548" t="s">
        <v>768</v>
      </c>
      <c r="C22" s="549" t="s">
        <v>167</v>
      </c>
      <c r="D22" s="550">
        <v>21704</v>
      </c>
      <c r="E22" s="551">
        <v>1.9</v>
      </c>
      <c r="F22" s="551">
        <f t="shared" si="4"/>
        <v>41237.599999999999</v>
      </c>
      <c r="G22" s="551">
        <f t="shared" si="5"/>
        <v>7835.1440000000002</v>
      </c>
      <c r="H22" s="552">
        <f t="shared" si="6"/>
        <v>49073.343999999997</v>
      </c>
      <c r="K22" s="553"/>
      <c r="M22" s="553"/>
    </row>
    <row r="23" spans="1:13" s="396" customFormat="1" x14ac:dyDescent="0.25">
      <c r="A23" s="547">
        <v>43616</v>
      </c>
      <c r="B23" s="548" t="s">
        <v>768</v>
      </c>
      <c r="C23" s="549" t="s">
        <v>167</v>
      </c>
      <c r="D23" s="550">
        <v>27620</v>
      </c>
      <c r="E23" s="551">
        <v>1.9</v>
      </c>
      <c r="F23" s="551">
        <f t="shared" si="4"/>
        <v>52478</v>
      </c>
      <c r="G23" s="551">
        <f t="shared" si="5"/>
        <v>9970.82</v>
      </c>
      <c r="H23" s="552">
        <f t="shared" si="6"/>
        <v>62449.42</v>
      </c>
      <c r="K23" s="553"/>
      <c r="M23" s="553"/>
    </row>
    <row r="24" spans="1:13" s="396" customFormat="1" x14ac:dyDescent="0.25">
      <c r="A24" s="547">
        <v>43717</v>
      </c>
      <c r="B24" s="548" t="s">
        <v>768</v>
      </c>
      <c r="C24" s="549" t="s">
        <v>167</v>
      </c>
      <c r="D24" s="550">
        <v>24020</v>
      </c>
      <c r="E24" s="551">
        <v>2.1</v>
      </c>
      <c r="F24" s="551">
        <f t="shared" si="4"/>
        <v>50442</v>
      </c>
      <c r="G24" s="551">
        <f t="shared" si="5"/>
        <v>9583.98</v>
      </c>
      <c r="H24" s="552">
        <f t="shared" si="6"/>
        <v>60026.579999999994</v>
      </c>
      <c r="K24" s="553"/>
      <c r="M24" s="553"/>
    </row>
    <row r="25" spans="1:13" s="396" customFormat="1" x14ac:dyDescent="0.25">
      <c r="A25" s="547">
        <v>43721</v>
      </c>
      <c r="B25" s="548" t="s">
        <v>768</v>
      </c>
      <c r="C25" s="549" t="s">
        <v>167</v>
      </c>
      <c r="D25" s="550">
        <v>25520</v>
      </c>
      <c r="E25" s="551">
        <v>2.1</v>
      </c>
      <c r="F25" s="551">
        <f t="shared" si="4"/>
        <v>53592</v>
      </c>
      <c r="G25" s="551">
        <f t="shared" si="5"/>
        <v>10182.48</v>
      </c>
      <c r="H25" s="552">
        <f t="shared" si="6"/>
        <v>63775.079999999994</v>
      </c>
      <c r="K25" s="553"/>
      <c r="M25" s="553"/>
    </row>
    <row r="26" spans="1:13" s="396" customFormat="1" x14ac:dyDescent="0.25">
      <c r="A26" s="547">
        <v>43727</v>
      </c>
      <c r="B26" s="548" t="s">
        <v>768</v>
      </c>
      <c r="C26" s="549" t="s">
        <v>167</v>
      </c>
      <c r="D26" s="550">
        <v>33360</v>
      </c>
      <c r="E26" s="551">
        <v>2.1</v>
      </c>
      <c r="F26" s="551">
        <f t="shared" si="4"/>
        <v>70056</v>
      </c>
      <c r="G26" s="551">
        <f t="shared" si="5"/>
        <v>13310.64</v>
      </c>
      <c r="H26" s="552">
        <f t="shared" si="6"/>
        <v>83367.240000000005</v>
      </c>
      <c r="K26" s="553"/>
      <c r="M26" s="553"/>
    </row>
    <row r="27" spans="1:13" s="396" customFormat="1" x14ac:dyDescent="0.25">
      <c r="A27" s="547">
        <v>43720</v>
      </c>
      <c r="B27" s="548" t="s">
        <v>768</v>
      </c>
      <c r="C27" s="549" t="s">
        <v>167</v>
      </c>
      <c r="D27" s="550">
        <v>29240</v>
      </c>
      <c r="E27" s="551">
        <v>2.1</v>
      </c>
      <c r="F27" s="551">
        <f t="shared" si="4"/>
        <v>61404</v>
      </c>
      <c r="G27" s="551">
        <f t="shared" si="5"/>
        <v>11666.76</v>
      </c>
      <c r="H27" s="552">
        <f t="shared" si="6"/>
        <v>73071.360000000001</v>
      </c>
      <c r="K27" s="553"/>
      <c r="M27" s="553"/>
    </row>
    <row r="28" spans="1:13" s="396" customFormat="1" x14ac:dyDescent="0.25">
      <c r="A28" s="547">
        <v>43717</v>
      </c>
      <c r="B28" s="548" t="s">
        <v>590</v>
      </c>
      <c r="C28" s="549" t="s">
        <v>167</v>
      </c>
      <c r="D28" s="550">
        <v>646</v>
      </c>
      <c r="E28" s="551">
        <v>27.5</v>
      </c>
      <c r="F28" s="551">
        <f t="shared" si="4"/>
        <v>17765</v>
      </c>
      <c r="G28" s="551">
        <f t="shared" si="5"/>
        <v>3375.35</v>
      </c>
      <c r="H28" s="552">
        <f>+F28+G28</f>
        <v>21140.35</v>
      </c>
      <c r="K28" s="553"/>
      <c r="M28" s="553"/>
    </row>
    <row r="29" spans="1:13" s="396" customFormat="1" x14ac:dyDescent="0.25">
      <c r="A29" s="547">
        <v>43727</v>
      </c>
      <c r="B29" s="548" t="s">
        <v>922</v>
      </c>
      <c r="C29" s="549" t="s">
        <v>167</v>
      </c>
      <c r="D29" s="550">
        <f>2360+197</f>
        <v>2557</v>
      </c>
      <c r="E29" s="551">
        <v>10</v>
      </c>
      <c r="F29" s="551">
        <f>+D29*E29</f>
        <v>25570</v>
      </c>
      <c r="G29" s="551">
        <f>+F29*0.19</f>
        <v>4858.3</v>
      </c>
      <c r="H29" s="552">
        <f>+F29+G29+0.6</f>
        <v>30428.899999999998</v>
      </c>
      <c r="K29" s="553"/>
      <c r="M29" s="553"/>
    </row>
    <row r="30" spans="1:13" x14ac:dyDescent="0.25">
      <c r="A30" s="547">
        <v>43498</v>
      </c>
      <c r="B30" s="548" t="s">
        <v>266</v>
      </c>
      <c r="C30" s="549" t="s">
        <v>167</v>
      </c>
      <c r="D30" s="550">
        <v>23480</v>
      </c>
      <c r="E30" s="551">
        <v>4.7</v>
      </c>
      <c r="F30" s="551">
        <f t="shared" ref="F30:F52" si="7">+D30*E30</f>
        <v>110356</v>
      </c>
      <c r="G30" s="551">
        <f t="shared" ref="G30:G52" si="8">+F30*0.19</f>
        <v>20967.64</v>
      </c>
      <c r="H30" s="552">
        <f t="shared" ref="H30:H52" si="9">+F30+G30+0.6</f>
        <v>131324.24000000002</v>
      </c>
    </row>
    <row r="31" spans="1:13" x14ac:dyDescent="0.25">
      <c r="A31" s="547">
        <v>43500</v>
      </c>
      <c r="B31" s="548" t="s">
        <v>266</v>
      </c>
      <c r="C31" s="549" t="s">
        <v>167</v>
      </c>
      <c r="D31" s="550">
        <v>27840</v>
      </c>
      <c r="E31" s="551">
        <v>4.7</v>
      </c>
      <c r="F31" s="551">
        <f t="shared" si="7"/>
        <v>130848</v>
      </c>
      <c r="G31" s="551">
        <f t="shared" si="8"/>
        <v>24861.119999999999</v>
      </c>
      <c r="H31" s="552">
        <f t="shared" si="9"/>
        <v>155709.72</v>
      </c>
    </row>
    <row r="32" spans="1:13" x14ac:dyDescent="0.25">
      <c r="A32" s="547">
        <v>43503</v>
      </c>
      <c r="B32" s="548" t="s">
        <v>266</v>
      </c>
      <c r="C32" s="549" t="s">
        <v>167</v>
      </c>
      <c r="D32" s="550">
        <v>7375</v>
      </c>
      <c r="E32" s="551">
        <v>4.7</v>
      </c>
      <c r="F32" s="551">
        <f t="shared" si="7"/>
        <v>34662.5</v>
      </c>
      <c r="G32" s="551">
        <f t="shared" si="8"/>
        <v>6585.875</v>
      </c>
      <c r="H32" s="552">
        <f t="shared" si="9"/>
        <v>41248.974999999999</v>
      </c>
    </row>
    <row r="33" spans="1:13" s="396" customFormat="1" x14ac:dyDescent="0.25">
      <c r="A33" s="547">
        <v>43515</v>
      </c>
      <c r="B33" s="548" t="s">
        <v>266</v>
      </c>
      <c r="C33" s="549" t="s">
        <v>167</v>
      </c>
      <c r="D33" s="550">
        <v>26198</v>
      </c>
      <c r="E33" s="551">
        <v>4.7</v>
      </c>
      <c r="F33" s="551">
        <f t="shared" si="7"/>
        <v>123130.6</v>
      </c>
      <c r="G33" s="551">
        <f t="shared" si="8"/>
        <v>23394.814000000002</v>
      </c>
      <c r="H33" s="552">
        <f t="shared" si="9"/>
        <v>146526.01400000002</v>
      </c>
      <c r="J33" s="553"/>
      <c r="K33" s="553"/>
      <c r="M33" s="553"/>
    </row>
    <row r="34" spans="1:13" s="396" customFormat="1" x14ac:dyDescent="0.25">
      <c r="A34" s="547">
        <v>43518</v>
      </c>
      <c r="B34" s="548" t="s">
        <v>266</v>
      </c>
      <c r="C34" s="549" t="s">
        <v>167</v>
      </c>
      <c r="D34" s="550">
        <v>23940</v>
      </c>
      <c r="E34" s="551">
        <v>4.7</v>
      </c>
      <c r="F34" s="551">
        <f t="shared" si="7"/>
        <v>112518</v>
      </c>
      <c r="G34" s="551">
        <f t="shared" si="8"/>
        <v>21378.420000000002</v>
      </c>
      <c r="H34" s="552">
        <f t="shared" si="9"/>
        <v>133897.02000000002</v>
      </c>
      <c r="K34" s="553"/>
      <c r="M34" s="553"/>
    </row>
    <row r="35" spans="1:13" s="396" customFormat="1" x14ac:dyDescent="0.25">
      <c r="A35" s="547">
        <v>43515</v>
      </c>
      <c r="B35" s="548" t="s">
        <v>266</v>
      </c>
      <c r="C35" s="549" t="s">
        <v>167</v>
      </c>
      <c r="D35" s="550">
        <v>3299</v>
      </c>
      <c r="E35" s="551">
        <v>4.5</v>
      </c>
      <c r="F35" s="551">
        <f t="shared" si="7"/>
        <v>14845.5</v>
      </c>
      <c r="G35" s="551">
        <f t="shared" si="8"/>
        <v>2820.645</v>
      </c>
      <c r="H35" s="552">
        <f t="shared" si="9"/>
        <v>17666.744999999999</v>
      </c>
      <c r="K35" s="553"/>
      <c r="L35" s="553"/>
      <c r="M35" s="553"/>
    </row>
    <row r="36" spans="1:13" s="396" customFormat="1" x14ac:dyDescent="0.25">
      <c r="A36" s="547">
        <v>43536</v>
      </c>
      <c r="B36" s="548" t="s">
        <v>266</v>
      </c>
      <c r="C36" s="549" t="s">
        <v>167</v>
      </c>
      <c r="D36" s="550">
        <v>3397</v>
      </c>
      <c r="E36" s="551">
        <v>4.7</v>
      </c>
      <c r="F36" s="551">
        <f t="shared" si="7"/>
        <v>15965.900000000001</v>
      </c>
      <c r="G36" s="551">
        <f t="shared" si="8"/>
        <v>3033.5210000000002</v>
      </c>
      <c r="H36" s="552">
        <f t="shared" si="9"/>
        <v>19000.021000000001</v>
      </c>
      <c r="K36" s="553"/>
      <c r="L36" s="553"/>
      <c r="M36" s="553"/>
    </row>
    <row r="37" spans="1:13" s="396" customFormat="1" x14ac:dyDescent="0.25">
      <c r="A37" s="547">
        <v>43540</v>
      </c>
      <c r="B37" s="548" t="s">
        <v>266</v>
      </c>
      <c r="C37" s="549" t="s">
        <v>167</v>
      </c>
      <c r="D37" s="550">
        <v>25020</v>
      </c>
      <c r="E37" s="551">
        <v>4.7</v>
      </c>
      <c r="F37" s="551">
        <f t="shared" si="7"/>
        <v>117594</v>
      </c>
      <c r="G37" s="551">
        <f t="shared" si="8"/>
        <v>22342.86</v>
      </c>
      <c r="H37" s="552">
        <f t="shared" si="9"/>
        <v>139937.46</v>
      </c>
      <c r="K37" s="553"/>
      <c r="M37" s="553"/>
    </row>
    <row r="38" spans="1:13" s="396" customFormat="1" x14ac:dyDescent="0.25">
      <c r="A38" s="547">
        <v>43542</v>
      </c>
      <c r="B38" s="548" t="s">
        <v>266</v>
      </c>
      <c r="C38" s="549" t="s">
        <v>167</v>
      </c>
      <c r="D38" s="550">
        <v>27680</v>
      </c>
      <c r="E38" s="551">
        <v>4.7</v>
      </c>
      <c r="F38" s="551">
        <f t="shared" si="7"/>
        <v>130096</v>
      </c>
      <c r="G38" s="551">
        <f t="shared" si="8"/>
        <v>24718.240000000002</v>
      </c>
      <c r="H38" s="552">
        <f t="shared" si="9"/>
        <v>154814.84</v>
      </c>
      <c r="K38" s="553"/>
      <c r="M38" s="553"/>
    </row>
    <row r="39" spans="1:13" s="396" customFormat="1" x14ac:dyDescent="0.25">
      <c r="A39" s="547">
        <v>43543</v>
      </c>
      <c r="B39" s="548" t="s">
        <v>266</v>
      </c>
      <c r="C39" s="549" t="s">
        <v>167</v>
      </c>
      <c r="D39" s="550">
        <v>26400</v>
      </c>
      <c r="E39" s="551">
        <v>4.7</v>
      </c>
      <c r="F39" s="551">
        <f t="shared" si="7"/>
        <v>124080</v>
      </c>
      <c r="G39" s="551">
        <f t="shared" si="8"/>
        <v>23575.200000000001</v>
      </c>
      <c r="H39" s="552">
        <f t="shared" si="9"/>
        <v>147655.80000000002</v>
      </c>
      <c r="K39" s="553"/>
      <c r="M39" s="553"/>
    </row>
    <row r="40" spans="1:13" s="396" customFormat="1" x14ac:dyDescent="0.25">
      <c r="A40" s="547">
        <v>43545</v>
      </c>
      <c r="B40" s="548" t="s">
        <v>266</v>
      </c>
      <c r="C40" s="549" t="s">
        <v>167</v>
      </c>
      <c r="D40" s="550">
        <v>1410</v>
      </c>
      <c r="E40" s="551">
        <v>4.7</v>
      </c>
      <c r="F40" s="551">
        <f t="shared" si="7"/>
        <v>6627</v>
      </c>
      <c r="G40" s="551">
        <f t="shared" si="8"/>
        <v>1259.1300000000001</v>
      </c>
      <c r="H40" s="552">
        <f t="shared" si="9"/>
        <v>7886.7300000000005</v>
      </c>
      <c r="K40" s="553"/>
      <c r="M40" s="553"/>
    </row>
    <row r="41" spans="1:13" s="396" customFormat="1" x14ac:dyDescent="0.25">
      <c r="A41" s="547">
        <v>43546</v>
      </c>
      <c r="B41" s="548" t="s">
        <v>266</v>
      </c>
      <c r="C41" s="549" t="s">
        <v>167</v>
      </c>
      <c r="D41" s="550">
        <v>14940</v>
      </c>
      <c r="E41" s="551">
        <v>4.7</v>
      </c>
      <c r="F41" s="551">
        <f t="shared" si="7"/>
        <v>70218</v>
      </c>
      <c r="G41" s="551">
        <f t="shared" si="8"/>
        <v>13341.42</v>
      </c>
      <c r="H41" s="552">
        <f t="shared" si="9"/>
        <v>83560.02</v>
      </c>
      <c r="K41" s="553"/>
      <c r="M41" s="553"/>
    </row>
    <row r="42" spans="1:13" s="396" customFormat="1" x14ac:dyDescent="0.25">
      <c r="A42" s="547">
        <v>43546</v>
      </c>
      <c r="B42" s="548" t="s">
        <v>266</v>
      </c>
      <c r="C42" s="549" t="s">
        <v>167</v>
      </c>
      <c r="D42" s="550">
        <v>9860</v>
      </c>
      <c r="E42" s="551">
        <v>4.7</v>
      </c>
      <c r="F42" s="551">
        <f t="shared" si="7"/>
        <v>46342</v>
      </c>
      <c r="G42" s="551">
        <f t="shared" si="8"/>
        <v>8804.98</v>
      </c>
      <c r="H42" s="552">
        <f t="shared" si="9"/>
        <v>55147.579999999994</v>
      </c>
      <c r="K42" s="553"/>
      <c r="M42" s="553"/>
    </row>
    <row r="43" spans="1:13" s="396" customFormat="1" x14ac:dyDescent="0.25">
      <c r="A43" s="547">
        <v>43549</v>
      </c>
      <c r="B43" s="548" t="s">
        <v>266</v>
      </c>
      <c r="C43" s="549" t="s">
        <v>167</v>
      </c>
      <c r="D43" s="550">
        <v>18560</v>
      </c>
      <c r="E43" s="551">
        <v>4.7</v>
      </c>
      <c r="F43" s="551">
        <f t="shared" si="7"/>
        <v>87232</v>
      </c>
      <c r="G43" s="551">
        <f t="shared" si="8"/>
        <v>16574.080000000002</v>
      </c>
      <c r="H43" s="552">
        <f t="shared" si="9"/>
        <v>103806.68000000001</v>
      </c>
      <c r="K43" s="553"/>
      <c r="M43" s="553"/>
    </row>
    <row r="44" spans="1:13" s="396" customFormat="1" x14ac:dyDescent="0.25">
      <c r="A44" s="547">
        <v>43550</v>
      </c>
      <c r="B44" s="548" t="s">
        <v>266</v>
      </c>
      <c r="C44" s="549" t="s">
        <v>167</v>
      </c>
      <c r="D44" s="550">
        <v>11300</v>
      </c>
      <c r="E44" s="551">
        <v>4.7</v>
      </c>
      <c r="F44" s="551">
        <f t="shared" si="7"/>
        <v>53110</v>
      </c>
      <c r="G44" s="551">
        <f t="shared" si="8"/>
        <v>10090.9</v>
      </c>
      <c r="H44" s="552">
        <f t="shared" si="9"/>
        <v>63201.5</v>
      </c>
      <c r="K44" s="553"/>
      <c r="M44" s="553"/>
    </row>
    <row r="45" spans="1:13" s="396" customFormat="1" x14ac:dyDescent="0.25">
      <c r="A45" s="547">
        <v>43553</v>
      </c>
      <c r="B45" s="548" t="s">
        <v>266</v>
      </c>
      <c r="C45" s="549" t="s">
        <v>167</v>
      </c>
      <c r="D45" s="550">
        <v>19980</v>
      </c>
      <c r="E45" s="551">
        <v>4.7</v>
      </c>
      <c r="F45" s="551">
        <f t="shared" si="7"/>
        <v>93906</v>
      </c>
      <c r="G45" s="551">
        <f t="shared" si="8"/>
        <v>17842.14</v>
      </c>
      <c r="H45" s="552">
        <f t="shared" si="9"/>
        <v>111748.74</v>
      </c>
      <c r="K45" s="553"/>
      <c r="M45" s="553"/>
    </row>
    <row r="46" spans="1:13" s="396" customFormat="1" x14ac:dyDescent="0.25">
      <c r="A46" s="547">
        <v>43554</v>
      </c>
      <c r="B46" s="548" t="s">
        <v>266</v>
      </c>
      <c r="C46" s="549" t="s">
        <v>167</v>
      </c>
      <c r="D46" s="550">
        <v>24360</v>
      </c>
      <c r="E46" s="551">
        <v>4.7</v>
      </c>
      <c r="F46" s="551">
        <f t="shared" si="7"/>
        <v>114492</v>
      </c>
      <c r="G46" s="551">
        <f t="shared" si="8"/>
        <v>21753.48</v>
      </c>
      <c r="H46" s="552">
        <f t="shared" si="9"/>
        <v>136246.08000000002</v>
      </c>
      <c r="K46" s="553"/>
      <c r="M46" s="553"/>
    </row>
    <row r="47" spans="1:13" s="396" customFormat="1" x14ac:dyDescent="0.25">
      <c r="A47" s="547">
        <v>43557</v>
      </c>
      <c r="B47" s="548" t="s">
        <v>266</v>
      </c>
      <c r="C47" s="549" t="s">
        <v>167</v>
      </c>
      <c r="D47" s="550">
        <v>22960</v>
      </c>
      <c r="E47" s="551">
        <v>4.7</v>
      </c>
      <c r="F47" s="551">
        <f t="shared" si="7"/>
        <v>107912</v>
      </c>
      <c r="G47" s="551">
        <f t="shared" si="8"/>
        <v>20503.28</v>
      </c>
      <c r="H47" s="552">
        <f t="shared" si="9"/>
        <v>128415.88</v>
      </c>
      <c r="K47" s="553"/>
      <c r="M47" s="553"/>
    </row>
    <row r="48" spans="1:13" s="396" customFormat="1" x14ac:dyDescent="0.25">
      <c r="A48" s="547">
        <v>43559</v>
      </c>
      <c r="B48" s="548" t="s">
        <v>266</v>
      </c>
      <c r="C48" s="549" t="s">
        <v>167</v>
      </c>
      <c r="D48" s="550">
        <v>17280</v>
      </c>
      <c r="E48" s="551">
        <v>4.7</v>
      </c>
      <c r="F48" s="551">
        <f t="shared" si="7"/>
        <v>81216</v>
      </c>
      <c r="G48" s="551">
        <f t="shared" si="8"/>
        <v>15431.04</v>
      </c>
      <c r="H48" s="552">
        <f t="shared" si="9"/>
        <v>96647.640000000014</v>
      </c>
      <c r="K48" s="553"/>
      <c r="M48" s="553"/>
    </row>
    <row r="49" spans="1:13" s="396" customFormat="1" x14ac:dyDescent="0.25">
      <c r="A49" s="547">
        <v>43560</v>
      </c>
      <c r="B49" s="548" t="s">
        <v>266</v>
      </c>
      <c r="C49" s="549" t="s">
        <v>167</v>
      </c>
      <c r="D49" s="550">
        <v>21820</v>
      </c>
      <c r="E49" s="551">
        <v>4.7</v>
      </c>
      <c r="F49" s="551">
        <f t="shared" si="7"/>
        <v>102554</v>
      </c>
      <c r="G49" s="551">
        <f t="shared" si="8"/>
        <v>19485.260000000002</v>
      </c>
      <c r="H49" s="552">
        <f t="shared" si="9"/>
        <v>122039.86000000002</v>
      </c>
      <c r="K49" s="553"/>
      <c r="M49" s="553"/>
    </row>
    <row r="50" spans="1:13" s="396" customFormat="1" x14ac:dyDescent="0.25">
      <c r="A50" s="547">
        <v>43575</v>
      </c>
      <c r="B50" s="548" t="s">
        <v>266</v>
      </c>
      <c r="C50" s="549" t="s">
        <v>167</v>
      </c>
      <c r="D50" s="550">
        <v>25520</v>
      </c>
      <c r="E50" s="551">
        <v>4.7</v>
      </c>
      <c r="F50" s="551">
        <f t="shared" si="7"/>
        <v>119944</v>
      </c>
      <c r="G50" s="551">
        <f t="shared" si="8"/>
        <v>22789.360000000001</v>
      </c>
      <c r="H50" s="552">
        <f t="shared" si="9"/>
        <v>142733.96</v>
      </c>
      <c r="K50" s="553"/>
      <c r="M50" s="553"/>
    </row>
    <row r="51" spans="1:13" s="396" customFormat="1" x14ac:dyDescent="0.25">
      <c r="A51" s="547">
        <v>43577</v>
      </c>
      <c r="B51" s="548" t="s">
        <v>266</v>
      </c>
      <c r="C51" s="549" t="s">
        <v>167</v>
      </c>
      <c r="D51" s="550">
        <v>27060</v>
      </c>
      <c r="E51" s="551">
        <v>4.7</v>
      </c>
      <c r="F51" s="551">
        <f t="shared" si="7"/>
        <v>127182</v>
      </c>
      <c r="G51" s="551">
        <f t="shared" si="8"/>
        <v>24164.58</v>
      </c>
      <c r="H51" s="552">
        <f t="shared" si="9"/>
        <v>151347.18000000002</v>
      </c>
      <c r="K51" s="553"/>
      <c r="M51" s="553"/>
    </row>
    <row r="52" spans="1:13" s="396" customFormat="1" x14ac:dyDescent="0.25">
      <c r="A52" s="547">
        <v>43578</v>
      </c>
      <c r="B52" s="548" t="s">
        <v>266</v>
      </c>
      <c r="C52" s="549" t="s">
        <v>167</v>
      </c>
      <c r="D52" s="550">
        <v>6376</v>
      </c>
      <c r="E52" s="551">
        <v>4.5999999999999996</v>
      </c>
      <c r="F52" s="551">
        <f t="shared" si="7"/>
        <v>29329.599999999999</v>
      </c>
      <c r="G52" s="551">
        <f t="shared" si="8"/>
        <v>5572.6239999999998</v>
      </c>
      <c r="H52" s="552">
        <f t="shared" si="9"/>
        <v>34902.824000000001</v>
      </c>
      <c r="K52" s="553"/>
      <c r="M52" s="553"/>
    </row>
    <row r="53" spans="1:13" ht="15.75" thickBot="1" x14ac:dyDescent="0.3">
      <c r="A53" s="368"/>
      <c r="B53" s="369"/>
      <c r="C53" s="370"/>
      <c r="D53" s="371"/>
      <c r="E53" s="372"/>
      <c r="F53" s="372"/>
      <c r="G53" s="372"/>
      <c r="H53" s="373"/>
    </row>
  </sheetData>
  <mergeCells count="14">
    <mergeCell ref="A6:B6"/>
    <mergeCell ref="D6:E6"/>
    <mergeCell ref="A5:B5"/>
    <mergeCell ref="D5:E5"/>
    <mergeCell ref="A1:H1"/>
    <mergeCell ref="A3:B3"/>
    <mergeCell ref="D3:E3"/>
    <mergeCell ref="A4:B4"/>
    <mergeCell ref="D4:E4"/>
    <mergeCell ref="A7:B7"/>
    <mergeCell ref="D7:E7"/>
    <mergeCell ref="A8:E8"/>
    <mergeCell ref="A9:G9"/>
    <mergeCell ref="A10:G10"/>
  </mergeCells>
  <pageMargins left="0.7" right="0.7" top="0.75" bottom="0.75" header="0.3" footer="0.3"/>
  <pageSetup paperSize="9" orientation="portrait" horizontalDpi="180" verticalDpi="180" r:id="rId1"/>
  <ignoredErrors>
    <ignoredError sqref="D4:E4 D7:E7 E5" formulaRange="1"/>
    <ignoredError sqref="H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0"/>
  <sheetViews>
    <sheetView workbookViewId="0">
      <selection activeCell="L33" sqref="L33"/>
    </sheetView>
  </sheetViews>
  <sheetFormatPr baseColWidth="10" defaultRowHeight="15" x14ac:dyDescent="0.25"/>
  <cols>
    <col min="1" max="1" width="9" bestFit="1" customWidth="1"/>
    <col min="2" max="2" width="17" bestFit="1" customWidth="1"/>
    <col min="3" max="3" width="3.42578125" bestFit="1" customWidth="1"/>
    <col min="4" max="4" width="7.85546875" bestFit="1" customWidth="1"/>
    <col min="5" max="5" width="4.85546875" bestFit="1" customWidth="1"/>
    <col min="6" max="7" width="10.85546875" bestFit="1" customWidth="1"/>
    <col min="8" max="8" width="11.42578125" bestFit="1" customWidth="1"/>
    <col min="9" max="9" width="9.5703125" bestFit="1" customWidth="1"/>
    <col min="10" max="10" width="11.140625" bestFit="1" customWidth="1"/>
    <col min="11" max="11" width="9" bestFit="1" customWidth="1"/>
    <col min="12" max="12" width="17" bestFit="1" customWidth="1"/>
    <col min="13" max="13" width="3.42578125" bestFit="1" customWidth="1"/>
    <col min="14" max="14" width="7.85546875" bestFit="1" customWidth="1"/>
    <col min="15" max="15" width="4.85546875" bestFit="1" customWidth="1"/>
    <col min="16" max="16" width="9.85546875" bestFit="1" customWidth="1"/>
    <col min="17" max="17" width="8.85546875" bestFit="1" customWidth="1"/>
    <col min="18" max="18" width="9.85546875" bestFit="1" customWidth="1"/>
    <col min="19" max="19" width="9.5703125" bestFit="1" customWidth="1"/>
    <col min="20" max="20" width="9" bestFit="1" customWidth="1"/>
    <col min="21" max="21" width="17" bestFit="1" customWidth="1"/>
    <col min="22" max="22" width="3.42578125" bestFit="1" customWidth="1"/>
    <col min="23" max="23" width="7.85546875" bestFit="1" customWidth="1"/>
    <col min="24" max="24" width="4.85546875" bestFit="1" customWidth="1"/>
    <col min="25" max="25" width="10.85546875" bestFit="1" customWidth="1"/>
    <col min="26" max="26" width="9.85546875" bestFit="1" customWidth="1"/>
    <col min="27" max="27" width="10.85546875" bestFit="1" customWidth="1"/>
  </cols>
  <sheetData>
    <row r="1" spans="1:21" x14ac:dyDescent="0.25">
      <c r="A1" s="914" t="s">
        <v>808</v>
      </c>
      <c r="B1" s="914"/>
      <c r="C1" s="914"/>
      <c r="D1" s="914"/>
      <c r="E1" s="914"/>
      <c r="F1" s="914"/>
      <c r="G1" s="914"/>
      <c r="H1" s="914"/>
      <c r="K1" s="914" t="s">
        <v>809</v>
      </c>
      <c r="L1" s="914"/>
      <c r="M1" s="914"/>
      <c r="N1" s="914"/>
      <c r="O1" s="914"/>
      <c r="P1" s="914"/>
      <c r="Q1" s="914"/>
      <c r="R1" s="914"/>
    </row>
    <row r="2" spans="1:21" ht="15.75" thickBot="1" x14ac:dyDescent="0.3">
      <c r="A2" s="250"/>
      <c r="B2" s="15"/>
      <c r="C2" s="263"/>
      <c r="D2" s="180"/>
      <c r="E2" s="187"/>
      <c r="F2" s="187"/>
      <c r="G2" s="187"/>
      <c r="H2" s="187"/>
      <c r="K2" s="250"/>
      <c r="L2" s="15"/>
      <c r="M2" s="263"/>
      <c r="N2" s="180"/>
      <c r="O2" s="187"/>
      <c r="P2" s="187"/>
      <c r="Q2" s="187"/>
      <c r="R2" s="187"/>
    </row>
    <row r="3" spans="1:21" x14ac:dyDescent="0.25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v>0</v>
      </c>
      <c r="K3" s="915" t="s">
        <v>243</v>
      </c>
      <c r="L3" s="916"/>
      <c r="M3" s="314" t="s">
        <v>167</v>
      </c>
      <c r="N3" s="917">
        <v>0</v>
      </c>
      <c r="O3" s="918"/>
      <c r="P3" s="231">
        <v>0</v>
      </c>
      <c r="Q3" s="231">
        <v>0</v>
      </c>
      <c r="R3" s="315">
        <v>0</v>
      </c>
    </row>
    <row r="4" spans="1:21" x14ac:dyDescent="0.25">
      <c r="A4" s="904" t="s">
        <v>244</v>
      </c>
      <c r="B4" s="905"/>
      <c r="C4" s="316" t="s">
        <v>167</v>
      </c>
      <c r="D4" s="906">
        <f>SUM(D12:D25)</f>
        <v>320351</v>
      </c>
      <c r="E4" s="907"/>
      <c r="F4" s="189">
        <f>SUM(F12:F25)</f>
        <v>624892.75</v>
      </c>
      <c r="G4" s="189">
        <f>SUM(G12:G25)</f>
        <v>119916.91872500001</v>
      </c>
      <c r="H4" s="317">
        <f>SUM(H12:H25)</f>
        <v>751066.39622500015</v>
      </c>
      <c r="K4" s="904" t="s">
        <v>244</v>
      </c>
      <c r="L4" s="905"/>
      <c r="M4" s="316" t="s">
        <v>167</v>
      </c>
      <c r="N4" s="906">
        <f>SUM(N11:N12)</f>
        <v>24440</v>
      </c>
      <c r="O4" s="907"/>
      <c r="P4" s="189">
        <f>SUM(P11:P12)</f>
        <v>47658</v>
      </c>
      <c r="Q4" s="189">
        <f>SUM(Q11:Q12)</f>
        <v>9145.5702000000001</v>
      </c>
      <c r="R4" s="317">
        <f>SUM(P4:Q4)</f>
        <v>56803.570200000002</v>
      </c>
    </row>
    <row r="5" spans="1:21" x14ac:dyDescent="0.25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v>0</v>
      </c>
      <c r="K5" s="904" t="s">
        <v>245</v>
      </c>
      <c r="L5" s="905"/>
      <c r="M5" s="316" t="s">
        <v>167</v>
      </c>
      <c r="N5" s="906">
        <v>0</v>
      </c>
      <c r="O5" s="907"/>
      <c r="P5" s="189">
        <v>0</v>
      </c>
      <c r="Q5" s="189">
        <v>0</v>
      </c>
      <c r="R5" s="317">
        <v>0</v>
      </c>
    </row>
    <row r="6" spans="1:21" x14ac:dyDescent="0.25">
      <c r="A6" s="904" t="s">
        <v>246</v>
      </c>
      <c r="B6" s="905"/>
      <c r="C6" s="316" t="s">
        <v>167</v>
      </c>
      <c r="D6" s="906"/>
      <c r="E6" s="907"/>
      <c r="F6" s="189">
        <v>0</v>
      </c>
      <c r="G6" s="189">
        <v>0</v>
      </c>
      <c r="H6" s="317">
        <v>0</v>
      </c>
      <c r="K6" s="904" t="s">
        <v>246</v>
      </c>
      <c r="L6" s="905"/>
      <c r="M6" s="316" t="s">
        <v>167</v>
      </c>
      <c r="N6" s="906"/>
      <c r="O6" s="907"/>
      <c r="P6" s="189">
        <v>0</v>
      </c>
      <c r="Q6" s="189">
        <v>0</v>
      </c>
      <c r="R6" s="317">
        <v>0</v>
      </c>
    </row>
    <row r="7" spans="1:21" x14ac:dyDescent="0.25">
      <c r="A7" s="908" t="s">
        <v>76</v>
      </c>
      <c r="B7" s="909"/>
      <c r="C7" s="909"/>
      <c r="D7" s="909"/>
      <c r="E7" s="909"/>
      <c r="F7" s="318">
        <f>SUM(F3:F6)</f>
        <v>624892.75</v>
      </c>
      <c r="G7" s="318">
        <f>SUM(G3:G6)</f>
        <v>119916.91872500001</v>
      </c>
      <c r="H7" s="319">
        <f>SUM(H3:H6)</f>
        <v>751066.39622500015</v>
      </c>
      <c r="K7" s="908" t="s">
        <v>76</v>
      </c>
      <c r="L7" s="909"/>
      <c r="M7" s="909"/>
      <c r="N7" s="909"/>
      <c r="O7" s="909"/>
      <c r="P7" s="318">
        <f>SUM(P3:P6)</f>
        <v>47658</v>
      </c>
      <c r="Q7" s="318">
        <f>SUM(Q3:Q6)</f>
        <v>9145.5702000000001</v>
      </c>
      <c r="R7" s="319">
        <f>SUM(R3:R6)</f>
        <v>56803.570200000002</v>
      </c>
    </row>
    <row r="8" spans="1:21" x14ac:dyDescent="0.25">
      <c r="A8" s="910" t="s">
        <v>247</v>
      </c>
      <c r="B8" s="911"/>
      <c r="C8" s="911"/>
      <c r="D8" s="911"/>
      <c r="E8" s="911"/>
      <c r="F8" s="911"/>
      <c r="G8" s="911"/>
      <c r="H8" s="319">
        <f>+H12+H13+H14+H15+H16+H17+H18+H19+H20+H21+35000+45000</f>
        <v>682322.56030000013</v>
      </c>
      <c r="K8" s="910" t="s">
        <v>247</v>
      </c>
      <c r="L8" s="911"/>
      <c r="M8" s="911"/>
      <c r="N8" s="911"/>
      <c r="O8" s="911"/>
      <c r="P8" s="911"/>
      <c r="Q8" s="911"/>
      <c r="R8" s="319">
        <v>56803.57</v>
      </c>
    </row>
    <row r="9" spans="1:21" ht="15.75" thickBot="1" x14ac:dyDescent="0.3">
      <c r="A9" s="910" t="s">
        <v>1226</v>
      </c>
      <c r="B9" s="911"/>
      <c r="C9" s="911"/>
      <c r="D9" s="911"/>
      <c r="E9" s="911"/>
      <c r="F9" s="911"/>
      <c r="G9" s="911"/>
      <c r="H9" s="695">
        <v>70000</v>
      </c>
      <c r="K9" s="912" t="s">
        <v>248</v>
      </c>
      <c r="L9" s="913"/>
      <c r="M9" s="913"/>
      <c r="N9" s="913"/>
      <c r="O9" s="913"/>
      <c r="P9" s="913"/>
      <c r="Q9" s="913"/>
      <c r="R9" s="320">
        <f>+R7-R8</f>
        <v>2.0000000222353265E-4</v>
      </c>
    </row>
    <row r="10" spans="1:21" ht="15.75" thickBot="1" x14ac:dyDescent="0.3">
      <c r="A10" s="912" t="s">
        <v>248</v>
      </c>
      <c r="B10" s="913"/>
      <c r="C10" s="913"/>
      <c r="D10" s="913"/>
      <c r="E10" s="913"/>
      <c r="F10" s="913"/>
      <c r="G10" s="913"/>
      <c r="H10" s="320">
        <f>+H7-H8-H9</f>
        <v>-1256.1640749999788</v>
      </c>
      <c r="K10" s="15"/>
      <c r="L10" s="15"/>
      <c r="M10" s="15"/>
      <c r="N10" s="15"/>
      <c r="O10" s="15"/>
      <c r="P10" s="15"/>
      <c r="Q10" s="15"/>
      <c r="R10" s="15"/>
    </row>
    <row r="11" spans="1:21" s="266" customFormat="1" ht="13.5" thickBot="1" x14ac:dyDescent="0.25">
      <c r="A11" s="15"/>
      <c r="B11" s="15"/>
      <c r="C11" s="15"/>
      <c r="D11" s="15"/>
      <c r="E11" s="15"/>
      <c r="F11" s="15"/>
      <c r="G11" s="15"/>
      <c r="H11" s="15"/>
      <c r="I11" s="272"/>
      <c r="J11" s="432"/>
      <c r="K11" s="510">
        <v>43605</v>
      </c>
      <c r="L11" s="427" t="s">
        <v>174</v>
      </c>
      <c r="M11" s="428" t="s">
        <v>206</v>
      </c>
      <c r="N11" s="429">
        <v>24440</v>
      </c>
      <c r="O11" s="430">
        <v>1.95</v>
      </c>
      <c r="P11" s="430">
        <f>N11*O11</f>
        <v>47658</v>
      </c>
      <c r="Q11" s="430">
        <f>P11*1.01*0.19</f>
        <v>9145.5702000000001</v>
      </c>
      <c r="R11" s="431">
        <f>P11*1.01+Q11+0.6</f>
        <v>57280.750200000002</v>
      </c>
    </row>
    <row r="12" spans="1:21" s="266" customFormat="1" ht="12.75" x14ac:dyDescent="0.25">
      <c r="A12" s="554">
        <v>43472</v>
      </c>
      <c r="B12" s="542" t="s">
        <v>174</v>
      </c>
      <c r="C12" s="543" t="s">
        <v>206</v>
      </c>
      <c r="D12" s="544">
        <v>38260</v>
      </c>
      <c r="E12" s="545">
        <v>1.8</v>
      </c>
      <c r="F12" s="545">
        <f>D12*E12</f>
        <v>68868</v>
      </c>
      <c r="G12" s="545">
        <f t="shared" ref="G12:G24" si="0">F12*1.01*0.19</f>
        <v>13215.769200000002</v>
      </c>
      <c r="H12" s="546">
        <f t="shared" ref="H12:H24" si="1">F12*1.01+G12+0.6</f>
        <v>82773.049200000009</v>
      </c>
      <c r="I12" s="272"/>
      <c r="J12" s="432"/>
      <c r="K12" s="511"/>
      <c r="M12" s="270"/>
      <c r="N12" s="271"/>
      <c r="O12" s="272"/>
      <c r="P12" s="272"/>
      <c r="Q12" s="272"/>
      <c r="R12" s="367"/>
    </row>
    <row r="13" spans="1:21" s="266" customFormat="1" ht="12.75" x14ac:dyDescent="0.25">
      <c r="A13" s="555">
        <v>43481</v>
      </c>
      <c r="B13" s="548" t="s">
        <v>174</v>
      </c>
      <c r="C13" s="549" t="s">
        <v>206</v>
      </c>
      <c r="D13" s="550">
        <v>36640</v>
      </c>
      <c r="E13" s="551">
        <v>1.8</v>
      </c>
      <c r="F13" s="551">
        <f t="shared" ref="F13:F24" si="2">D13*E13</f>
        <v>65952</v>
      </c>
      <c r="G13" s="551">
        <f t="shared" si="0"/>
        <v>12656.188800000002</v>
      </c>
      <c r="H13" s="552">
        <f t="shared" si="1"/>
        <v>79268.308800000013</v>
      </c>
      <c r="I13" s="272"/>
      <c r="J13" s="507"/>
      <c r="K13" s="511"/>
      <c r="M13" s="270"/>
      <c r="N13" s="271"/>
      <c r="O13" s="272"/>
      <c r="P13" s="272"/>
      <c r="Q13" s="272"/>
      <c r="R13" s="367"/>
    </row>
    <row r="14" spans="1:21" s="266" customFormat="1" ht="12.75" x14ac:dyDescent="0.25">
      <c r="A14" s="555">
        <v>43500</v>
      </c>
      <c r="B14" s="548" t="s">
        <v>174</v>
      </c>
      <c r="C14" s="549" t="s">
        <v>206</v>
      </c>
      <c r="D14" s="550">
        <v>34520</v>
      </c>
      <c r="E14" s="551">
        <v>1.8</v>
      </c>
      <c r="F14" s="551">
        <f t="shared" si="2"/>
        <v>62136</v>
      </c>
      <c r="G14" s="551">
        <f t="shared" si="0"/>
        <v>11923.8984</v>
      </c>
      <c r="H14" s="552">
        <f t="shared" si="1"/>
        <v>74681.858400000012</v>
      </c>
      <c r="I14" s="272"/>
      <c r="J14" s="432"/>
      <c r="K14" s="511"/>
      <c r="M14" s="270"/>
      <c r="N14" s="271"/>
      <c r="O14" s="272"/>
      <c r="P14" s="272"/>
      <c r="Q14" s="272"/>
      <c r="R14" s="367"/>
    </row>
    <row r="15" spans="1:21" s="266" customFormat="1" ht="12.75" x14ac:dyDescent="0.25">
      <c r="A15" s="555">
        <v>43524</v>
      </c>
      <c r="B15" s="548" t="s">
        <v>174</v>
      </c>
      <c r="C15" s="549" t="s">
        <v>206</v>
      </c>
      <c r="D15" s="550">
        <v>25680</v>
      </c>
      <c r="E15" s="551">
        <v>1.9</v>
      </c>
      <c r="F15" s="551">
        <f t="shared" si="2"/>
        <v>48792</v>
      </c>
      <c r="G15" s="551">
        <f t="shared" si="0"/>
        <v>9363.1847999999991</v>
      </c>
      <c r="H15" s="552">
        <f t="shared" si="1"/>
        <v>58643.7048</v>
      </c>
      <c r="I15" s="272"/>
      <c r="J15" s="432"/>
      <c r="K15" s="511"/>
      <c r="M15" s="270"/>
      <c r="N15" s="271"/>
      <c r="O15" s="272"/>
      <c r="P15" s="272"/>
      <c r="Q15" s="272"/>
      <c r="R15" s="367"/>
      <c r="U15" s="271"/>
    </row>
    <row r="16" spans="1:21" s="266" customFormat="1" ht="12.75" x14ac:dyDescent="0.25">
      <c r="A16" s="555">
        <v>43529</v>
      </c>
      <c r="B16" s="548" t="s">
        <v>174</v>
      </c>
      <c r="C16" s="549" t="s">
        <v>206</v>
      </c>
      <c r="D16" s="550">
        <v>30200</v>
      </c>
      <c r="E16" s="551">
        <v>1.9</v>
      </c>
      <c r="F16" s="551">
        <f t="shared" si="2"/>
        <v>57380</v>
      </c>
      <c r="G16" s="551">
        <f t="shared" si="0"/>
        <v>11011.222000000002</v>
      </c>
      <c r="H16" s="552">
        <f t="shared" si="1"/>
        <v>68965.622000000003</v>
      </c>
      <c r="I16" s="272"/>
      <c r="J16" s="432"/>
      <c r="K16" s="511"/>
      <c r="M16" s="270"/>
      <c r="N16" s="271"/>
      <c r="O16" s="272"/>
      <c r="P16" s="272"/>
      <c r="Q16" s="272"/>
      <c r="R16" s="367"/>
    </row>
    <row r="17" spans="1:18" s="266" customFormat="1" ht="13.5" thickBot="1" x14ac:dyDescent="0.3">
      <c r="A17" s="555">
        <v>43553</v>
      </c>
      <c r="B17" s="548" t="s">
        <v>174</v>
      </c>
      <c r="C17" s="549" t="s">
        <v>206</v>
      </c>
      <c r="D17" s="550">
        <v>30420</v>
      </c>
      <c r="E17" s="551">
        <v>1.9</v>
      </c>
      <c r="F17" s="551">
        <f t="shared" si="2"/>
        <v>57798</v>
      </c>
      <c r="G17" s="551">
        <f t="shared" si="0"/>
        <v>11091.4362</v>
      </c>
      <c r="H17" s="552">
        <f t="shared" si="1"/>
        <v>69468.016200000013</v>
      </c>
      <c r="I17" s="272"/>
      <c r="J17" s="432"/>
      <c r="K17" s="368"/>
      <c r="L17" s="369"/>
      <c r="M17" s="370"/>
      <c r="N17" s="371"/>
      <c r="O17" s="372"/>
      <c r="P17" s="372"/>
      <c r="Q17" s="372"/>
      <c r="R17" s="373"/>
    </row>
    <row r="18" spans="1:18" s="266" customFormat="1" x14ac:dyDescent="0.25">
      <c r="A18" s="555">
        <v>43577</v>
      </c>
      <c r="B18" s="548" t="s">
        <v>174</v>
      </c>
      <c r="C18" s="549" t="s">
        <v>206</v>
      </c>
      <c r="D18" s="550">
        <v>33220</v>
      </c>
      <c r="E18" s="551">
        <v>1.95</v>
      </c>
      <c r="F18" s="551">
        <f t="shared" si="2"/>
        <v>64779</v>
      </c>
      <c r="G18" s="551">
        <f t="shared" si="0"/>
        <v>12431.090099999999</v>
      </c>
      <c r="H18" s="552">
        <f t="shared" si="1"/>
        <v>77858.480100000001</v>
      </c>
      <c r="J18" s="432"/>
      <c r="K18"/>
      <c r="L18"/>
      <c r="M18"/>
      <c r="N18"/>
      <c r="O18"/>
      <c r="P18"/>
      <c r="Q18"/>
      <c r="R18"/>
    </row>
    <row r="19" spans="1:18" s="266" customFormat="1" x14ac:dyDescent="0.25">
      <c r="A19" s="555">
        <v>43693</v>
      </c>
      <c r="B19" s="548" t="s">
        <v>174</v>
      </c>
      <c r="C19" s="549" t="s">
        <v>206</v>
      </c>
      <c r="D19" s="550">
        <v>500</v>
      </c>
      <c r="E19" s="551">
        <v>2.1</v>
      </c>
      <c r="F19" s="551">
        <f t="shared" si="2"/>
        <v>1050</v>
      </c>
      <c r="G19" s="551">
        <f t="shared" si="0"/>
        <v>201.495</v>
      </c>
      <c r="H19" s="552">
        <f t="shared" si="1"/>
        <v>1262.5949999999998</v>
      </c>
      <c r="J19" s="432"/>
      <c r="K19"/>
      <c r="L19"/>
      <c r="M19"/>
      <c r="N19"/>
      <c r="O19"/>
      <c r="P19"/>
      <c r="Q19"/>
      <c r="R19"/>
    </row>
    <row r="20" spans="1:18" x14ac:dyDescent="0.25">
      <c r="A20" s="555">
        <v>43717</v>
      </c>
      <c r="B20" s="548" t="s">
        <v>174</v>
      </c>
      <c r="C20" s="549" t="s">
        <v>206</v>
      </c>
      <c r="D20" s="550">
        <v>15600</v>
      </c>
      <c r="E20" s="551">
        <v>2.1</v>
      </c>
      <c r="F20" s="551">
        <f t="shared" si="2"/>
        <v>32760</v>
      </c>
      <c r="G20" s="551">
        <f t="shared" si="0"/>
        <v>6286.6440000000002</v>
      </c>
      <c r="H20" s="552">
        <f t="shared" si="1"/>
        <v>39374.843999999997</v>
      </c>
      <c r="I20" s="266"/>
      <c r="J20" s="507"/>
    </row>
    <row r="21" spans="1:18" x14ac:dyDescent="0.25">
      <c r="A21" s="555">
        <v>43724</v>
      </c>
      <c r="B21" s="548" t="s">
        <v>174</v>
      </c>
      <c r="C21" s="549" t="s">
        <v>206</v>
      </c>
      <c r="D21" s="550">
        <v>19820</v>
      </c>
      <c r="E21" s="551">
        <v>2.1</v>
      </c>
      <c r="F21" s="551">
        <f t="shared" si="2"/>
        <v>41622</v>
      </c>
      <c r="G21" s="551">
        <f t="shared" si="0"/>
        <v>7987.2618000000002</v>
      </c>
      <c r="H21" s="552">
        <f t="shared" si="1"/>
        <v>50026.0818</v>
      </c>
      <c r="I21" s="266"/>
      <c r="J21" s="507"/>
    </row>
    <row r="22" spans="1:18" x14ac:dyDescent="0.25">
      <c r="A22" s="555">
        <v>43798</v>
      </c>
      <c r="B22" s="548" t="s">
        <v>174</v>
      </c>
      <c r="C22" s="549" t="s">
        <v>206</v>
      </c>
      <c r="D22" s="550">
        <v>21980</v>
      </c>
      <c r="E22" s="551">
        <v>2.2000000000000002</v>
      </c>
      <c r="F22" s="551">
        <f t="shared" si="2"/>
        <v>48356.000000000007</v>
      </c>
      <c r="G22" s="551">
        <f t="shared" si="0"/>
        <v>9279.5164000000004</v>
      </c>
      <c r="H22" s="552">
        <f t="shared" si="1"/>
        <v>58119.676400000004</v>
      </c>
    </row>
    <row r="23" spans="1:18" x14ac:dyDescent="0.25">
      <c r="A23" s="555">
        <v>43809</v>
      </c>
      <c r="B23" s="548" t="s">
        <v>174</v>
      </c>
      <c r="C23" s="549" t="s">
        <v>206</v>
      </c>
      <c r="D23" s="550">
        <v>26940</v>
      </c>
      <c r="E23" s="551">
        <v>2.25</v>
      </c>
      <c r="F23" s="551">
        <f t="shared" si="2"/>
        <v>60615</v>
      </c>
      <c r="G23" s="551">
        <f t="shared" si="0"/>
        <v>11632.0185</v>
      </c>
      <c r="H23" s="552">
        <f t="shared" si="1"/>
        <v>72853.768500000006</v>
      </c>
    </row>
    <row r="24" spans="1:18" x14ac:dyDescent="0.25">
      <c r="A24" s="511">
        <v>43819</v>
      </c>
      <c r="B24" s="266" t="s">
        <v>174</v>
      </c>
      <c r="C24" s="270" t="s">
        <v>206</v>
      </c>
      <c r="D24" s="271">
        <v>6571</v>
      </c>
      <c r="E24" s="272">
        <v>2.25</v>
      </c>
      <c r="F24" s="272">
        <f t="shared" si="2"/>
        <v>14784.75</v>
      </c>
      <c r="G24" s="272">
        <f t="shared" si="0"/>
        <v>2837.1935250000001</v>
      </c>
      <c r="H24" s="367">
        <f t="shared" si="1"/>
        <v>17770.391024999997</v>
      </c>
    </row>
    <row r="25" spans="1:18" ht="15.75" thickBot="1" x14ac:dyDescent="0.3">
      <c r="A25" s="368"/>
      <c r="B25" s="369"/>
      <c r="C25" s="370"/>
      <c r="D25" s="371"/>
      <c r="E25" s="372"/>
      <c r="F25" s="372"/>
      <c r="G25" s="372"/>
      <c r="H25" s="373"/>
      <c r="J25" s="652"/>
    </row>
    <row r="29" spans="1:18" x14ac:dyDescent="0.25">
      <c r="A29" s="914" t="s">
        <v>909</v>
      </c>
      <c r="B29" s="914"/>
      <c r="C29" s="914"/>
      <c r="D29" s="914"/>
      <c r="E29" s="914"/>
      <c r="F29" s="914"/>
      <c r="G29" s="914"/>
      <c r="H29" s="914"/>
    </row>
    <row r="30" spans="1:18" ht="15.75" thickBot="1" x14ac:dyDescent="0.3">
      <c r="A30" s="250"/>
      <c r="B30" s="15"/>
      <c r="C30" s="263"/>
      <c r="D30" s="180"/>
      <c r="E30" s="187"/>
      <c r="F30" s="187"/>
      <c r="G30" s="187"/>
      <c r="H30" s="187"/>
    </row>
    <row r="31" spans="1:18" x14ac:dyDescent="0.25">
      <c r="A31" s="915" t="s">
        <v>243</v>
      </c>
      <c r="B31" s="916"/>
      <c r="C31" s="314" t="s">
        <v>167</v>
      </c>
      <c r="D31" s="917">
        <v>0</v>
      </c>
      <c r="E31" s="918"/>
      <c r="F31" s="231">
        <v>0</v>
      </c>
      <c r="G31" s="231">
        <v>0</v>
      </c>
      <c r="H31" s="315">
        <v>0</v>
      </c>
    </row>
    <row r="32" spans="1:18" x14ac:dyDescent="0.25">
      <c r="A32" s="904" t="s">
        <v>244</v>
      </c>
      <c r="B32" s="905"/>
      <c r="C32" s="316" t="s">
        <v>167</v>
      </c>
      <c r="D32" s="906">
        <f>SUM(D43:D45)</f>
        <v>31680</v>
      </c>
      <c r="E32" s="907"/>
      <c r="F32" s="189">
        <f>SUM(F43:F45)</f>
        <v>62982</v>
      </c>
      <c r="G32" s="189">
        <f>SUM(G43:G45)</f>
        <v>0</v>
      </c>
      <c r="H32" s="317">
        <f>SUM(F32:G32)</f>
        <v>62982</v>
      </c>
    </row>
    <row r="33" spans="1:8" x14ac:dyDescent="0.25">
      <c r="A33" s="904" t="s">
        <v>245</v>
      </c>
      <c r="B33" s="905"/>
      <c r="C33" s="316" t="s">
        <v>167</v>
      </c>
      <c r="D33" s="906">
        <v>0</v>
      </c>
      <c r="E33" s="907"/>
      <c r="F33" s="189">
        <v>0</v>
      </c>
      <c r="G33" s="189">
        <v>0</v>
      </c>
      <c r="H33" s="317">
        <v>0</v>
      </c>
    </row>
    <row r="34" spans="1:8" x14ac:dyDescent="0.25">
      <c r="A34" s="904" t="s">
        <v>246</v>
      </c>
      <c r="B34" s="905"/>
      <c r="C34" s="316" t="s">
        <v>167</v>
      </c>
      <c r="D34" s="906"/>
      <c r="E34" s="907"/>
      <c r="F34" s="189">
        <v>0</v>
      </c>
      <c r="G34" s="189">
        <v>0</v>
      </c>
      <c r="H34" s="317">
        <v>0</v>
      </c>
    </row>
    <row r="35" spans="1:8" x14ac:dyDescent="0.25">
      <c r="A35" s="908" t="s">
        <v>76</v>
      </c>
      <c r="B35" s="909"/>
      <c r="C35" s="909"/>
      <c r="D35" s="909"/>
      <c r="E35" s="909"/>
      <c r="F35" s="318">
        <f>SUM(F31:F34)</f>
        <v>62982</v>
      </c>
      <c r="G35" s="318">
        <f>SUM(G31:G34)</f>
        <v>0</v>
      </c>
      <c r="H35" s="319">
        <f>SUM(H31:H34)</f>
        <v>62982</v>
      </c>
    </row>
    <row r="36" spans="1:8" x14ac:dyDescent="0.25">
      <c r="A36" s="910" t="s">
        <v>247</v>
      </c>
      <c r="B36" s="911"/>
      <c r="C36" s="911"/>
      <c r="D36" s="911"/>
      <c r="E36" s="911"/>
      <c r="F36" s="911"/>
      <c r="G36" s="911"/>
      <c r="H36" s="319">
        <f>H46+H47</f>
        <v>-104409.65204999999</v>
      </c>
    </row>
    <row r="37" spans="1:8" x14ac:dyDescent="0.25">
      <c r="A37" s="910" t="s">
        <v>910</v>
      </c>
      <c r="B37" s="911"/>
      <c r="C37" s="911"/>
      <c r="D37" s="911"/>
      <c r="E37" s="911"/>
      <c r="F37" s="911"/>
      <c r="G37" s="911"/>
      <c r="H37" s="695">
        <f>+G46+G47</f>
        <v>16670.25705</v>
      </c>
    </row>
    <row r="38" spans="1:8" x14ac:dyDescent="0.25">
      <c r="A38" s="910" t="s">
        <v>911</v>
      </c>
      <c r="B38" s="911"/>
      <c r="C38" s="911"/>
      <c r="D38" s="911"/>
      <c r="E38" s="911"/>
      <c r="F38" s="911"/>
      <c r="G38" s="911"/>
      <c r="H38" s="695">
        <f>(F46+F47)*1%</f>
        <v>868.69500000000005</v>
      </c>
    </row>
    <row r="39" spans="1:8" x14ac:dyDescent="0.25">
      <c r="A39" s="910" t="s">
        <v>913</v>
      </c>
      <c r="B39" s="911"/>
      <c r="C39" s="911"/>
      <c r="D39" s="911"/>
      <c r="E39" s="911"/>
      <c r="F39" s="911"/>
      <c r="G39" s="911"/>
      <c r="H39" s="695">
        <f>-(H46+H47)*1.5%</f>
        <v>1566.1447807499999</v>
      </c>
    </row>
    <row r="40" spans="1:8" x14ac:dyDescent="0.25">
      <c r="A40" s="910" t="s">
        <v>912</v>
      </c>
      <c r="B40" s="911"/>
      <c r="C40" s="911"/>
      <c r="D40" s="911"/>
      <c r="E40" s="911"/>
      <c r="F40" s="911"/>
      <c r="G40" s="911"/>
      <c r="H40" s="695">
        <v>20000</v>
      </c>
    </row>
    <row r="41" spans="1:8" ht="15.75" thickBot="1" x14ac:dyDescent="0.3">
      <c r="A41" s="912" t="s">
        <v>248</v>
      </c>
      <c r="B41" s="913"/>
      <c r="C41" s="913"/>
      <c r="D41" s="913"/>
      <c r="E41" s="913"/>
      <c r="F41" s="913"/>
      <c r="G41" s="913"/>
      <c r="H41" s="320">
        <f>SUM(H35:H40)</f>
        <v>-2322.555219249989</v>
      </c>
    </row>
    <row r="42" spans="1:8" ht="15.75" thickBot="1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25">
      <c r="A43" s="510">
        <v>43643</v>
      </c>
      <c r="B43" s="427" t="s">
        <v>174</v>
      </c>
      <c r="C43" s="428" t="s">
        <v>206</v>
      </c>
      <c r="D43" s="429">
        <v>10660</v>
      </c>
      <c r="E43" s="430">
        <v>1.95</v>
      </c>
      <c r="F43" s="430">
        <f>D43*E43</f>
        <v>20787</v>
      </c>
      <c r="G43" s="430"/>
      <c r="H43" s="431"/>
    </row>
    <row r="44" spans="1:8" x14ac:dyDescent="0.25">
      <c r="A44" s="511">
        <v>43656</v>
      </c>
      <c r="B44" s="266" t="s">
        <v>174</v>
      </c>
      <c r="C44" s="270" t="s">
        <v>206</v>
      </c>
      <c r="D44" s="271">
        <v>12980</v>
      </c>
      <c r="E44" s="272">
        <v>1.95</v>
      </c>
      <c r="F44" s="272">
        <f>D44*E44</f>
        <v>25311</v>
      </c>
      <c r="G44" s="272"/>
      <c r="H44" s="367"/>
    </row>
    <row r="45" spans="1:8" x14ac:dyDescent="0.25">
      <c r="A45" s="511">
        <v>43693</v>
      </c>
      <c r="B45" s="266" t="s">
        <v>174</v>
      </c>
      <c r="C45" s="270" t="s">
        <v>206</v>
      </c>
      <c r="D45" s="271">
        <v>8040</v>
      </c>
      <c r="E45" s="272">
        <v>2.1</v>
      </c>
      <c r="F45" s="272">
        <f>D45*E45</f>
        <v>16884</v>
      </c>
      <c r="G45" s="272"/>
      <c r="H45" s="367"/>
    </row>
    <row r="46" spans="1:8" x14ac:dyDescent="0.25">
      <c r="A46" s="511"/>
      <c r="B46" s="548" t="s">
        <v>247</v>
      </c>
      <c r="C46" s="549" t="s">
        <v>206</v>
      </c>
      <c r="D46" s="550">
        <v>29720</v>
      </c>
      <c r="E46" s="551">
        <v>1.45</v>
      </c>
      <c r="F46" s="551">
        <f>D46*E46</f>
        <v>43094</v>
      </c>
      <c r="G46" s="551">
        <f>F46*1.01*0.19</f>
        <v>8269.7386000000006</v>
      </c>
      <c r="H46" s="552">
        <f>-(F46*1.01+G46+0.6)</f>
        <v>-51795.278599999998</v>
      </c>
    </row>
    <row r="47" spans="1:8" x14ac:dyDescent="0.25">
      <c r="A47" s="511"/>
      <c r="B47" s="548" t="s">
        <v>247</v>
      </c>
      <c r="C47" s="549" t="s">
        <v>206</v>
      </c>
      <c r="D47" s="550">
        <v>30190</v>
      </c>
      <c r="E47" s="551">
        <v>1.45</v>
      </c>
      <c r="F47" s="551">
        <f>D47*E47</f>
        <v>43775.5</v>
      </c>
      <c r="G47" s="551">
        <f>F47*1.01*0.19</f>
        <v>8400.5184499999996</v>
      </c>
      <c r="H47" s="552">
        <f>-(F47*1.01+G47+0.6)</f>
        <v>-52614.373449999992</v>
      </c>
    </row>
    <row r="48" spans="1:8" x14ac:dyDescent="0.25">
      <c r="A48" s="511"/>
      <c r="B48" s="266"/>
      <c r="C48" s="270"/>
      <c r="D48" s="271"/>
      <c r="E48" s="272"/>
      <c r="F48" s="272"/>
      <c r="G48" s="272"/>
      <c r="H48" s="367"/>
    </row>
    <row r="49" spans="1:8" ht="15.75" thickBot="1" x14ac:dyDescent="0.3">
      <c r="A49" s="368"/>
      <c r="B49" s="369"/>
      <c r="C49" s="370"/>
      <c r="D49" s="371"/>
      <c r="E49" s="372"/>
      <c r="F49" s="372"/>
      <c r="G49" s="372"/>
      <c r="H49" s="373"/>
    </row>
    <row r="50" spans="1:8" x14ac:dyDescent="0.25">
      <c r="A50" s="266"/>
      <c r="B50" s="266"/>
      <c r="C50" s="266"/>
      <c r="D50" s="266"/>
      <c r="E50" s="266"/>
      <c r="F50" s="266"/>
      <c r="G50" s="266"/>
      <c r="H50" s="266"/>
    </row>
  </sheetData>
  <mergeCells count="41">
    <mergeCell ref="A36:G36"/>
    <mergeCell ref="A41:G41"/>
    <mergeCell ref="A37:G37"/>
    <mergeCell ref="A38:G38"/>
    <mergeCell ref="A39:G39"/>
    <mergeCell ref="A40:G40"/>
    <mergeCell ref="A33:B33"/>
    <mergeCell ref="D33:E33"/>
    <mergeCell ref="A34:B34"/>
    <mergeCell ref="D34:E34"/>
    <mergeCell ref="A35:E35"/>
    <mergeCell ref="A29:H29"/>
    <mergeCell ref="A31:B31"/>
    <mergeCell ref="D31:E31"/>
    <mergeCell ref="A32:B32"/>
    <mergeCell ref="D32:E32"/>
    <mergeCell ref="K1:R1"/>
    <mergeCell ref="K3:L3"/>
    <mergeCell ref="N3:O3"/>
    <mergeCell ref="K4:L4"/>
    <mergeCell ref="N4:O4"/>
    <mergeCell ref="A10:G10"/>
    <mergeCell ref="K5:L5"/>
    <mergeCell ref="N5:O5"/>
    <mergeCell ref="K6:L6"/>
    <mergeCell ref="N6:O6"/>
    <mergeCell ref="K7:O7"/>
    <mergeCell ref="A9:G9"/>
    <mergeCell ref="K8:Q8"/>
    <mergeCell ref="K9:Q9"/>
    <mergeCell ref="A5:B5"/>
    <mergeCell ref="D5:E5"/>
    <mergeCell ref="A6:B6"/>
    <mergeCell ref="D6:E6"/>
    <mergeCell ref="A7:E7"/>
    <mergeCell ref="A8:G8"/>
    <mergeCell ref="A1:H1"/>
    <mergeCell ref="A3:B3"/>
    <mergeCell ref="D3:E3"/>
    <mergeCell ref="A4:B4"/>
    <mergeCell ref="D4:E4"/>
  </mergeCells>
  <pageMargins left="0.7" right="0.7" top="0.75" bottom="0.75" header="0.3" footer="0.3"/>
  <pageSetup paperSize="9" orientation="portrait" horizontalDpi="180" verticalDpi="180" r:id="rId1"/>
  <ignoredErrors>
    <ignoredError sqref="D3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1"/>
  <sheetViews>
    <sheetView zoomScaleNormal="100" workbookViewId="0">
      <selection activeCell="L33" sqref="L33"/>
    </sheetView>
  </sheetViews>
  <sheetFormatPr baseColWidth="10" defaultRowHeight="15" x14ac:dyDescent="0.25"/>
  <cols>
    <col min="1" max="1" width="10.140625" bestFit="1" customWidth="1"/>
    <col min="2" max="2" width="17.28515625" bestFit="1" customWidth="1"/>
    <col min="3" max="3" width="3.42578125" bestFit="1" customWidth="1"/>
    <col min="4" max="4" width="8.85546875" bestFit="1" customWidth="1"/>
    <col min="5" max="5" width="5.42578125" bestFit="1" customWidth="1"/>
    <col min="6" max="8" width="10.85546875" bestFit="1" customWidth="1"/>
  </cols>
  <sheetData>
    <row r="1" spans="1:16" x14ac:dyDescent="0.25">
      <c r="A1" s="914" t="s">
        <v>656</v>
      </c>
      <c r="B1" s="914"/>
      <c r="C1" s="914"/>
      <c r="D1" s="914"/>
      <c r="E1" s="914"/>
      <c r="F1" s="914"/>
      <c r="G1" s="914"/>
      <c r="H1" s="914"/>
    </row>
    <row r="2" spans="1:16" ht="15.75" thickBot="1" x14ac:dyDescent="0.3">
      <c r="A2" s="250"/>
      <c r="B2" s="15"/>
      <c r="C2" s="263"/>
      <c r="D2" s="180"/>
      <c r="E2" s="187"/>
      <c r="F2" s="187"/>
      <c r="G2" s="187"/>
      <c r="H2" s="187"/>
    </row>
    <row r="3" spans="1:16" x14ac:dyDescent="0.25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v>0</v>
      </c>
    </row>
    <row r="4" spans="1:16" x14ac:dyDescent="0.25">
      <c r="A4" s="904" t="s">
        <v>244</v>
      </c>
      <c r="B4" s="905"/>
      <c r="C4" s="316" t="s">
        <v>167</v>
      </c>
      <c r="D4" s="906">
        <f>SUM(D11:D21)</f>
        <v>258740</v>
      </c>
      <c r="E4" s="907"/>
      <c r="F4" s="189">
        <f>SUM(F11:F21)</f>
        <v>527900</v>
      </c>
      <c r="G4" s="189">
        <f>SUM(G11:G21)</f>
        <v>100301</v>
      </c>
      <c r="H4" s="317">
        <f>SUM(H11:H21)</f>
        <v>628207</v>
      </c>
    </row>
    <row r="5" spans="1:16" x14ac:dyDescent="0.25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v>0</v>
      </c>
    </row>
    <row r="6" spans="1:16" x14ac:dyDescent="0.25">
      <c r="A6" s="904" t="s">
        <v>246</v>
      </c>
      <c r="B6" s="905"/>
      <c r="C6" s="316" t="s">
        <v>167</v>
      </c>
      <c r="D6" s="906">
        <v>0</v>
      </c>
      <c r="E6" s="907"/>
      <c r="F6" s="189">
        <v>0</v>
      </c>
      <c r="G6" s="189">
        <v>0</v>
      </c>
      <c r="H6" s="317">
        <v>0</v>
      </c>
    </row>
    <row r="7" spans="1:16" x14ac:dyDescent="0.25">
      <c r="A7" s="908" t="s">
        <v>76</v>
      </c>
      <c r="B7" s="909"/>
      <c r="C7" s="909"/>
      <c r="D7" s="909"/>
      <c r="E7" s="909"/>
      <c r="F7" s="318">
        <f>SUM(F3:F6)</f>
        <v>527900</v>
      </c>
      <c r="G7" s="318">
        <f>SUM(G3:G6)</f>
        <v>100301</v>
      </c>
      <c r="H7" s="319">
        <f>SUM(H3:H6)</f>
        <v>628207</v>
      </c>
    </row>
    <row r="8" spans="1:16" x14ac:dyDescent="0.25">
      <c r="A8" s="910" t="s">
        <v>247</v>
      </c>
      <c r="B8" s="911"/>
      <c r="C8" s="911"/>
      <c r="D8" s="911"/>
      <c r="E8" s="911"/>
      <c r="F8" s="911"/>
      <c r="G8" s="911"/>
      <c r="H8" s="319">
        <f>H11+H12+H13+H14+H15+H16+H17+H18+H19+H20</f>
        <v>628207</v>
      </c>
    </row>
    <row r="9" spans="1:16" ht="15.75" thickBot="1" x14ac:dyDescent="0.3">
      <c r="A9" s="912" t="s">
        <v>248</v>
      </c>
      <c r="B9" s="913"/>
      <c r="C9" s="913"/>
      <c r="D9" s="913"/>
      <c r="E9" s="913"/>
      <c r="F9" s="913"/>
      <c r="G9" s="913"/>
      <c r="H9" s="320">
        <f>+H7-H8</f>
        <v>0</v>
      </c>
    </row>
    <row r="10" spans="1:16" ht="15.75" thickBot="1" x14ac:dyDescent="0.3">
      <c r="A10" s="15"/>
      <c r="B10" s="15"/>
      <c r="C10" s="15"/>
      <c r="D10" s="15"/>
      <c r="E10" s="15"/>
      <c r="F10" s="15"/>
      <c r="G10" s="15"/>
      <c r="H10" s="15"/>
    </row>
    <row r="11" spans="1:16" s="266" customFormat="1" ht="12.75" x14ac:dyDescent="0.25">
      <c r="A11" s="554">
        <v>43511</v>
      </c>
      <c r="B11" s="542" t="s">
        <v>174</v>
      </c>
      <c r="C11" s="543" t="s">
        <v>206</v>
      </c>
      <c r="D11" s="544">
        <v>33060</v>
      </c>
      <c r="E11" s="545">
        <v>1.8</v>
      </c>
      <c r="F11" s="545">
        <f t="shared" ref="F11:F20" si="0">D11*E11</f>
        <v>59508</v>
      </c>
      <c r="G11" s="545">
        <f t="shared" ref="G11:G20" si="1">F11*0.19</f>
        <v>11306.52</v>
      </c>
      <c r="H11" s="546">
        <f t="shared" ref="H11:H20" si="2">F11+G11+0.6</f>
        <v>70815.12000000001</v>
      </c>
      <c r="J11" s="432"/>
      <c r="K11" s="270"/>
      <c r="L11" s="272"/>
      <c r="M11" s="504"/>
      <c r="N11" s="267"/>
      <c r="O11" s="539"/>
      <c r="P11" s="267"/>
    </row>
    <row r="12" spans="1:16" s="266" customFormat="1" ht="12.75" x14ac:dyDescent="0.25">
      <c r="A12" s="555">
        <v>43577</v>
      </c>
      <c r="B12" s="548" t="s">
        <v>174</v>
      </c>
      <c r="C12" s="549" t="s">
        <v>206</v>
      </c>
      <c r="D12" s="550">
        <v>33240</v>
      </c>
      <c r="E12" s="551">
        <v>1.9</v>
      </c>
      <c r="F12" s="551">
        <f t="shared" si="0"/>
        <v>63156</v>
      </c>
      <c r="G12" s="551">
        <f t="shared" si="1"/>
        <v>11999.64</v>
      </c>
      <c r="H12" s="552">
        <f t="shared" si="2"/>
        <v>75156.240000000005</v>
      </c>
      <c r="J12" s="432"/>
      <c r="K12" s="270"/>
      <c r="L12" s="272"/>
      <c r="M12" s="504"/>
      <c r="N12" s="267"/>
      <c r="O12" s="539"/>
      <c r="P12" s="267"/>
    </row>
    <row r="13" spans="1:16" s="266" customFormat="1" ht="12.75" x14ac:dyDescent="0.25">
      <c r="A13" s="555">
        <v>43616</v>
      </c>
      <c r="B13" s="548" t="s">
        <v>174</v>
      </c>
      <c r="C13" s="549" t="s">
        <v>206</v>
      </c>
      <c r="D13" s="550">
        <v>33500</v>
      </c>
      <c r="E13" s="551">
        <v>1.9</v>
      </c>
      <c r="F13" s="551">
        <f t="shared" si="0"/>
        <v>63650</v>
      </c>
      <c r="G13" s="551">
        <f t="shared" si="1"/>
        <v>12093.5</v>
      </c>
      <c r="H13" s="552">
        <f t="shared" si="2"/>
        <v>75744.100000000006</v>
      </c>
      <c r="J13" s="432"/>
      <c r="K13" s="270"/>
      <c r="L13" s="272"/>
      <c r="M13" s="504"/>
      <c r="N13" s="267"/>
      <c r="O13" s="539"/>
      <c r="P13" s="267"/>
    </row>
    <row r="14" spans="1:16" s="266" customFormat="1" ht="12.75" x14ac:dyDescent="0.25">
      <c r="A14" s="555">
        <v>43686</v>
      </c>
      <c r="B14" s="548" t="s">
        <v>174</v>
      </c>
      <c r="C14" s="549" t="s">
        <v>206</v>
      </c>
      <c r="D14" s="550">
        <v>30800</v>
      </c>
      <c r="E14" s="551">
        <v>2.1</v>
      </c>
      <c r="F14" s="551">
        <f t="shared" si="0"/>
        <v>64680</v>
      </c>
      <c r="G14" s="551">
        <f t="shared" si="1"/>
        <v>12289.2</v>
      </c>
      <c r="H14" s="552">
        <f t="shared" si="2"/>
        <v>76969.8</v>
      </c>
      <c r="J14" s="432"/>
      <c r="K14" s="270"/>
      <c r="L14" s="272"/>
      <c r="M14" s="504"/>
      <c r="N14" s="267"/>
      <c r="O14" s="539"/>
      <c r="P14" s="267"/>
    </row>
    <row r="15" spans="1:16" s="266" customFormat="1" ht="12.75" x14ac:dyDescent="0.25">
      <c r="A15" s="555">
        <v>43718</v>
      </c>
      <c r="B15" s="548" t="s">
        <v>174</v>
      </c>
      <c r="C15" s="549" t="s">
        <v>206</v>
      </c>
      <c r="D15" s="550">
        <v>26540</v>
      </c>
      <c r="E15" s="551">
        <v>2.1</v>
      </c>
      <c r="F15" s="551">
        <f t="shared" si="0"/>
        <v>55734</v>
      </c>
      <c r="G15" s="551">
        <f t="shared" si="1"/>
        <v>10589.460000000001</v>
      </c>
      <c r="H15" s="552">
        <f t="shared" si="2"/>
        <v>66324.060000000012</v>
      </c>
      <c r="J15" s="432"/>
      <c r="K15" s="270"/>
      <c r="L15" s="272"/>
      <c r="M15" s="504"/>
      <c r="N15" s="267"/>
      <c r="O15" s="539"/>
      <c r="P15" s="267"/>
    </row>
    <row r="16" spans="1:16" s="266" customFormat="1" ht="12.75" x14ac:dyDescent="0.25">
      <c r="A16" s="555">
        <v>43741</v>
      </c>
      <c r="B16" s="548" t="s">
        <v>174</v>
      </c>
      <c r="C16" s="549" t="s">
        <v>206</v>
      </c>
      <c r="D16" s="550">
        <v>25400</v>
      </c>
      <c r="E16" s="551">
        <v>2.1</v>
      </c>
      <c r="F16" s="551">
        <f t="shared" si="0"/>
        <v>53340</v>
      </c>
      <c r="G16" s="551">
        <f t="shared" si="1"/>
        <v>10134.6</v>
      </c>
      <c r="H16" s="552">
        <f t="shared" si="2"/>
        <v>63475.199999999997</v>
      </c>
      <c r="J16" s="432"/>
      <c r="K16" s="270"/>
      <c r="L16" s="272"/>
      <c r="M16" s="504"/>
      <c r="N16" s="267"/>
      <c r="O16" s="539"/>
      <c r="P16" s="267"/>
    </row>
    <row r="17" spans="1:16" s="266" customFormat="1" ht="12.75" x14ac:dyDescent="0.25">
      <c r="A17" s="555">
        <v>43769</v>
      </c>
      <c r="B17" s="548" t="s">
        <v>174</v>
      </c>
      <c r="C17" s="549" t="s">
        <v>206</v>
      </c>
      <c r="D17" s="550">
        <v>24120</v>
      </c>
      <c r="E17" s="551">
        <v>2.1</v>
      </c>
      <c r="F17" s="551">
        <f t="shared" si="0"/>
        <v>50652</v>
      </c>
      <c r="G17" s="551">
        <f t="shared" si="1"/>
        <v>9623.880000000001</v>
      </c>
      <c r="H17" s="552">
        <f t="shared" si="2"/>
        <v>60276.480000000003</v>
      </c>
      <c r="J17" s="432"/>
      <c r="K17" s="270"/>
      <c r="L17" s="272"/>
      <c r="M17" s="504"/>
      <c r="N17" s="267"/>
      <c r="O17" s="539"/>
      <c r="P17" s="267"/>
    </row>
    <row r="18" spans="1:16" s="266" customFormat="1" ht="12.75" x14ac:dyDescent="0.25">
      <c r="A18" s="555">
        <v>43791</v>
      </c>
      <c r="B18" s="548" t="s">
        <v>174</v>
      </c>
      <c r="C18" s="549" t="s">
        <v>206</v>
      </c>
      <c r="D18" s="550">
        <v>24960</v>
      </c>
      <c r="E18" s="551">
        <v>2.25</v>
      </c>
      <c r="F18" s="551">
        <f t="shared" si="0"/>
        <v>56160</v>
      </c>
      <c r="G18" s="551">
        <f t="shared" si="1"/>
        <v>10670.4</v>
      </c>
      <c r="H18" s="552">
        <f t="shared" si="2"/>
        <v>66831</v>
      </c>
      <c r="J18" s="432"/>
      <c r="K18" s="270"/>
      <c r="L18" s="272"/>
      <c r="M18" s="504"/>
      <c r="N18" s="267"/>
      <c r="O18" s="539"/>
      <c r="P18" s="267"/>
    </row>
    <row r="19" spans="1:16" s="266" customFormat="1" ht="12.75" x14ac:dyDescent="0.25">
      <c r="A19" s="555">
        <v>43805</v>
      </c>
      <c r="B19" s="548" t="s">
        <v>174</v>
      </c>
      <c r="C19" s="549" t="s">
        <v>206</v>
      </c>
      <c r="D19" s="550">
        <v>13680</v>
      </c>
      <c r="E19" s="551">
        <v>2.25</v>
      </c>
      <c r="F19" s="551">
        <f t="shared" si="0"/>
        <v>30780</v>
      </c>
      <c r="G19" s="551">
        <f t="shared" si="1"/>
        <v>5848.2</v>
      </c>
      <c r="H19" s="552">
        <f t="shared" si="2"/>
        <v>36628.799999999996</v>
      </c>
      <c r="J19" s="432"/>
      <c r="K19" s="270"/>
      <c r="L19" s="272"/>
      <c r="M19" s="504"/>
      <c r="N19" s="267"/>
      <c r="O19" s="539"/>
      <c r="P19" s="267"/>
    </row>
    <row r="20" spans="1:16" s="266" customFormat="1" ht="12.75" x14ac:dyDescent="0.25">
      <c r="A20" s="555">
        <v>43813</v>
      </c>
      <c r="B20" s="548" t="s">
        <v>174</v>
      </c>
      <c r="C20" s="549" t="s">
        <v>206</v>
      </c>
      <c r="D20" s="550">
        <v>13440</v>
      </c>
      <c r="E20" s="551">
        <v>2.25</v>
      </c>
      <c r="F20" s="551">
        <f t="shared" si="0"/>
        <v>30240</v>
      </c>
      <c r="G20" s="551">
        <f t="shared" si="1"/>
        <v>5745.6</v>
      </c>
      <c r="H20" s="552">
        <f t="shared" si="2"/>
        <v>35986.199999999997</v>
      </c>
      <c r="J20" s="432"/>
      <c r="K20" s="270"/>
      <c r="L20" s="272"/>
      <c r="M20" s="504"/>
      <c r="N20" s="267"/>
      <c r="O20" s="539"/>
      <c r="P20" s="267"/>
    </row>
    <row r="21" spans="1:16" ht="15.75" thickBot="1" x14ac:dyDescent="0.3">
      <c r="A21" s="368"/>
      <c r="B21" s="369"/>
      <c r="C21" s="370"/>
      <c r="D21" s="371"/>
      <c r="E21" s="372"/>
      <c r="F21" s="372"/>
      <c r="G21" s="372"/>
      <c r="H21" s="373"/>
    </row>
  </sheetData>
  <mergeCells count="12">
    <mergeCell ref="A5:B5"/>
    <mergeCell ref="D5:E5"/>
    <mergeCell ref="A1:H1"/>
    <mergeCell ref="A3:B3"/>
    <mergeCell ref="D3:E3"/>
    <mergeCell ref="A4:B4"/>
    <mergeCell ref="D4:E4"/>
    <mergeCell ref="A6:B6"/>
    <mergeCell ref="D6:E6"/>
    <mergeCell ref="A7:E7"/>
    <mergeCell ref="A8:G8"/>
    <mergeCell ref="A9:G9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92"/>
  <sheetViews>
    <sheetView zoomScale="90" zoomScaleNormal="90" workbookViewId="0">
      <selection activeCell="M54" sqref="M54"/>
    </sheetView>
  </sheetViews>
  <sheetFormatPr baseColWidth="10" defaultColWidth="9.5703125" defaultRowHeight="12.75" x14ac:dyDescent="0.2"/>
  <cols>
    <col min="1" max="1" width="11.5703125" style="15" bestFit="1" customWidth="1"/>
    <col min="2" max="2" width="8.140625" style="15" bestFit="1" customWidth="1"/>
    <col min="3" max="3" width="4" style="15" bestFit="1" customWidth="1"/>
    <col min="4" max="4" width="8.7109375" style="15" bestFit="1" customWidth="1"/>
    <col min="5" max="5" width="6.28515625" style="15" bestFit="1" customWidth="1"/>
    <col min="6" max="6" width="12.28515625" style="15" bestFit="1" customWidth="1"/>
    <col min="7" max="7" width="11.5703125" style="15" bestFit="1" customWidth="1"/>
    <col min="8" max="8" width="12.28515625" style="15" bestFit="1" customWidth="1"/>
    <col min="9" max="9" width="9.7109375" style="15" bestFit="1" customWidth="1"/>
    <col min="10" max="10" width="18.7109375" style="15" bestFit="1" customWidth="1"/>
    <col min="11" max="11" width="4" style="15" bestFit="1" customWidth="1"/>
    <col min="12" max="12" width="8.7109375" style="15" bestFit="1" customWidth="1"/>
    <col min="13" max="13" width="5.42578125" style="15" bestFit="1" customWidth="1"/>
    <col min="14" max="15" width="9.7109375" style="15" bestFit="1" customWidth="1"/>
    <col min="16" max="16" width="10.5703125" style="15" bestFit="1" customWidth="1"/>
    <col min="17" max="17" width="9.7109375" style="26" bestFit="1" customWidth="1"/>
    <col min="18" max="18" width="7.42578125" style="15" bestFit="1" customWidth="1"/>
    <col min="19" max="19" width="4" style="15" bestFit="1" customWidth="1"/>
    <col min="20" max="20" width="8.7109375" style="15" bestFit="1" customWidth="1"/>
    <col min="21" max="21" width="6.28515625" style="15" bestFit="1" customWidth="1"/>
    <col min="22" max="22" width="10.5703125" style="15" bestFit="1" customWidth="1"/>
    <col min="23" max="23" width="9.7109375" style="15" bestFit="1" customWidth="1"/>
    <col min="24" max="24" width="10.5703125" style="15" bestFit="1" customWidth="1"/>
    <col min="25" max="25" width="9.7109375" style="26" bestFit="1" customWidth="1"/>
    <col min="26" max="26" width="7.85546875" style="15" bestFit="1" customWidth="1"/>
    <col min="27" max="27" width="4" style="15" bestFit="1" customWidth="1"/>
    <col min="28" max="28" width="8.7109375" style="15" bestFit="1" customWidth="1"/>
    <col min="29" max="29" width="5.42578125" style="15" bestFit="1" customWidth="1"/>
    <col min="30" max="32" width="9.7109375" style="15" bestFit="1" customWidth="1"/>
    <col min="33" max="16384" width="9.5703125" style="15"/>
  </cols>
  <sheetData>
    <row r="1" spans="1:32" x14ac:dyDescent="0.2">
      <c r="A1" s="914" t="s">
        <v>1068</v>
      </c>
      <c r="B1" s="914"/>
      <c r="C1" s="914"/>
      <c r="D1" s="914"/>
      <c r="E1" s="914"/>
      <c r="F1" s="914"/>
      <c r="G1" s="914"/>
      <c r="H1" s="914"/>
    </row>
    <row r="2" spans="1:32" ht="13.5" thickBot="1" x14ac:dyDescent="0.25">
      <c r="A2" s="250"/>
      <c r="C2" s="263"/>
      <c r="D2" s="180"/>
      <c r="E2" s="187"/>
      <c r="F2" s="187"/>
      <c r="G2" s="187"/>
      <c r="H2" s="187"/>
    </row>
    <row r="3" spans="1:32" x14ac:dyDescent="0.2">
      <c r="A3" s="915" t="s">
        <v>243</v>
      </c>
      <c r="B3" s="916"/>
      <c r="C3" s="314" t="s">
        <v>167</v>
      </c>
      <c r="D3" s="920">
        <f>SUM(D14:D33)</f>
        <v>179760</v>
      </c>
      <c r="E3" s="920"/>
      <c r="F3" s="231">
        <f>SUM(F14:F33)</f>
        <v>263651</v>
      </c>
      <c r="G3" s="231">
        <f>SUM(G14:G33)</f>
        <v>50093.689999999995</v>
      </c>
      <c r="H3" s="315">
        <f>+F3+G3</f>
        <v>313744.69</v>
      </c>
    </row>
    <row r="4" spans="1:32" x14ac:dyDescent="0.2">
      <c r="A4" s="904" t="s">
        <v>244</v>
      </c>
      <c r="B4" s="905"/>
      <c r="C4" s="316" t="s">
        <v>167</v>
      </c>
      <c r="D4" s="919">
        <f>SUM(L14:L33)</f>
        <v>740800</v>
      </c>
      <c r="E4" s="919"/>
      <c r="F4" s="189">
        <f>SUM(N14:N33)</f>
        <v>1484592</v>
      </c>
      <c r="G4" s="189">
        <f>SUM(O14:O33)</f>
        <v>282072.48000000004</v>
      </c>
      <c r="H4" s="317">
        <f>+F4+G4</f>
        <v>1766664.48</v>
      </c>
    </row>
    <row r="5" spans="1:32" x14ac:dyDescent="0.2">
      <c r="A5" s="904" t="s">
        <v>245</v>
      </c>
      <c r="B5" s="905"/>
      <c r="C5" s="316" t="s">
        <v>167</v>
      </c>
      <c r="D5" s="919">
        <f>SUM(T14:T19)</f>
        <v>17387</v>
      </c>
      <c r="E5" s="919"/>
      <c r="F5" s="189">
        <f>SUM(V14:V33)</f>
        <v>613720</v>
      </c>
      <c r="G5" s="189">
        <f>SUM(W14:W33)</f>
        <v>116606.80000000002</v>
      </c>
      <c r="H5" s="317">
        <f>G5+F5</f>
        <v>730326.8</v>
      </c>
    </row>
    <row r="6" spans="1:32" x14ac:dyDescent="0.2">
      <c r="A6" s="904" t="s">
        <v>262</v>
      </c>
      <c r="B6" s="905"/>
      <c r="C6" s="316" t="s">
        <v>167</v>
      </c>
      <c r="D6" s="919">
        <v>0</v>
      </c>
      <c r="E6" s="919"/>
      <c r="F6" s="189">
        <v>0</v>
      </c>
      <c r="G6" s="189">
        <v>0</v>
      </c>
      <c r="H6" s="317">
        <f>+F6+G6</f>
        <v>0</v>
      </c>
    </row>
    <row r="7" spans="1:32" ht="13.5" thickBot="1" x14ac:dyDescent="0.25">
      <c r="A7" s="926" t="s">
        <v>246</v>
      </c>
      <c r="B7" s="927"/>
      <c r="C7" s="738"/>
      <c r="D7" s="928">
        <f>SUM(AB14:AB87)</f>
        <v>350516</v>
      </c>
      <c r="E7" s="928"/>
      <c r="F7" s="191">
        <f>SUM(AD14:AD87)</f>
        <v>1555266.4000000001</v>
      </c>
      <c r="G7" s="191">
        <f>SUM(AE14:AE87)</f>
        <v>295500.6160000001</v>
      </c>
      <c r="H7" s="694">
        <f>+F7+G7</f>
        <v>1850767.0160000003</v>
      </c>
    </row>
    <row r="8" spans="1:32" ht="13.5" thickBot="1" x14ac:dyDescent="0.25">
      <c r="A8" s="929" t="s">
        <v>76</v>
      </c>
      <c r="B8" s="930"/>
      <c r="C8" s="930"/>
      <c r="D8" s="930"/>
      <c r="E8" s="930"/>
      <c r="F8" s="444">
        <f>SUM(F3:F7)</f>
        <v>3917229.4000000004</v>
      </c>
      <c r="G8" s="444">
        <f>SUM(G3:G7)</f>
        <v>744273.58600000013</v>
      </c>
      <c r="H8" s="445">
        <f>SUM(H3:H7)</f>
        <v>4661502.9859999996</v>
      </c>
    </row>
    <row r="9" spans="1:32" x14ac:dyDescent="0.2">
      <c r="A9" s="931" t="s">
        <v>657</v>
      </c>
      <c r="B9" s="932"/>
      <c r="C9" s="932"/>
      <c r="D9" s="932"/>
      <c r="E9" s="932"/>
      <c r="F9" s="932"/>
      <c r="G9" s="933"/>
      <c r="H9" s="673">
        <f>177957.908+200316.87+117742.77</f>
        <v>496017.54800000001</v>
      </c>
    </row>
    <row r="10" spans="1:32" x14ac:dyDescent="0.2">
      <c r="A10" s="934" t="s">
        <v>247</v>
      </c>
      <c r="B10" s="935"/>
      <c r="C10" s="935"/>
      <c r="D10" s="935"/>
      <c r="E10" s="935"/>
      <c r="F10" s="935"/>
      <c r="G10" s="935"/>
      <c r="H10" s="319">
        <f>3675092.32+142530.832+200000+200000+200000+200000+150000</f>
        <v>4767623.1519999998</v>
      </c>
    </row>
    <row r="11" spans="1:32" x14ac:dyDescent="0.2">
      <c r="A11" s="923" t="s">
        <v>1069</v>
      </c>
      <c r="B11" s="924"/>
      <c r="C11" s="924"/>
      <c r="D11" s="924"/>
      <c r="E11" s="924"/>
      <c r="F11" s="924"/>
      <c r="G11" s="925"/>
      <c r="H11" s="695">
        <f>+(T14+T15+T16)*5*1.19</f>
        <v>42488.95</v>
      </c>
    </row>
    <row r="12" spans="1:32" ht="13.5" thickBot="1" x14ac:dyDescent="0.25">
      <c r="A12" s="921" t="s">
        <v>248</v>
      </c>
      <c r="B12" s="922"/>
      <c r="C12" s="922"/>
      <c r="D12" s="922"/>
      <c r="E12" s="922"/>
      <c r="F12" s="922"/>
      <c r="G12" s="922"/>
      <c r="H12" s="320">
        <f>H8+H9-H10-H11</f>
        <v>347408.4320000002</v>
      </c>
    </row>
    <row r="13" spans="1:32" ht="13.5" thickBot="1" x14ac:dyDescent="0.25">
      <c r="A13" s="250"/>
      <c r="C13" s="263"/>
      <c r="D13" s="180"/>
      <c r="E13" s="187"/>
      <c r="F13" s="187"/>
      <c r="G13" s="187"/>
      <c r="H13" s="187"/>
      <c r="P13" s="180"/>
    </row>
    <row r="14" spans="1:32" x14ac:dyDescent="0.2">
      <c r="A14" s="603">
        <v>43482</v>
      </c>
      <c r="B14" s="427" t="s">
        <v>597</v>
      </c>
      <c r="C14" s="428" t="s">
        <v>167</v>
      </c>
      <c r="D14" s="429">
        <v>31720</v>
      </c>
      <c r="E14" s="430">
        <v>1.45</v>
      </c>
      <c r="F14" s="430">
        <f t="shared" ref="F14:F19" si="0">+D14*E14</f>
        <v>45994</v>
      </c>
      <c r="G14" s="430">
        <f t="shared" ref="G14:G19" si="1">+F14*0.19</f>
        <v>8738.86</v>
      </c>
      <c r="H14" s="431">
        <f t="shared" ref="H14:H19" si="2">+F14+G14</f>
        <v>54732.86</v>
      </c>
      <c r="I14" s="603">
        <v>43468</v>
      </c>
      <c r="J14" s="427" t="s">
        <v>174</v>
      </c>
      <c r="K14" s="428" t="s">
        <v>167</v>
      </c>
      <c r="L14" s="429">
        <v>40420</v>
      </c>
      <c r="M14" s="430">
        <v>1.8</v>
      </c>
      <c r="N14" s="430">
        <f>+L14*M14</f>
        <v>72756</v>
      </c>
      <c r="O14" s="430">
        <f t="shared" ref="O14:O31" si="3">+N14*0.19</f>
        <v>13823.64</v>
      </c>
      <c r="P14" s="431">
        <f t="shared" ref="P14:P31" si="4">+N14+O14</f>
        <v>86579.64</v>
      </c>
      <c r="Q14" s="603">
        <v>43558</v>
      </c>
      <c r="R14" s="739" t="s">
        <v>707</v>
      </c>
      <c r="S14" s="429" t="s">
        <v>167</v>
      </c>
      <c r="T14" s="429">
        <v>768</v>
      </c>
      <c r="U14" s="430">
        <v>33</v>
      </c>
      <c r="V14" s="430">
        <f t="shared" ref="V14:V19" si="5">T14*U14</f>
        <v>25344</v>
      </c>
      <c r="W14" s="740">
        <f t="shared" ref="W14:W19" si="6">+V14*0.19</f>
        <v>4815.3599999999997</v>
      </c>
      <c r="X14" s="431">
        <f t="shared" ref="X14:X19" si="7">+V14+W14</f>
        <v>30159.360000000001</v>
      </c>
      <c r="Y14" s="603">
        <v>43467</v>
      </c>
      <c r="Z14" s="427" t="s">
        <v>266</v>
      </c>
      <c r="AA14" s="428" t="s">
        <v>167</v>
      </c>
      <c r="AB14" s="429">
        <v>3938</v>
      </c>
      <c r="AC14" s="430">
        <v>4.3</v>
      </c>
      <c r="AD14" s="430">
        <f t="shared" ref="AD14:AD31" si="8">+AB14*AC14</f>
        <v>16933.399999999998</v>
      </c>
      <c r="AE14" s="430">
        <f t="shared" ref="AE14:AE77" si="9">+AD14*0.19</f>
        <v>3217.3459999999995</v>
      </c>
      <c r="AF14" s="431">
        <f t="shared" ref="AF14:AF77" si="10">+AD14+AE14</f>
        <v>20150.745999999999</v>
      </c>
    </row>
    <row r="15" spans="1:32" x14ac:dyDescent="0.2">
      <c r="A15" s="604">
        <v>43524</v>
      </c>
      <c r="B15" s="266" t="s">
        <v>597</v>
      </c>
      <c r="C15" s="270" t="s">
        <v>167</v>
      </c>
      <c r="D15" s="271">
        <v>27020</v>
      </c>
      <c r="E15" s="272">
        <v>1.45</v>
      </c>
      <c r="F15" s="272">
        <f t="shared" si="0"/>
        <v>39179</v>
      </c>
      <c r="G15" s="272">
        <f t="shared" si="1"/>
        <v>7444.01</v>
      </c>
      <c r="H15" s="367">
        <f t="shared" si="2"/>
        <v>46623.01</v>
      </c>
      <c r="I15" s="604">
        <v>43483</v>
      </c>
      <c r="J15" s="266" t="s">
        <v>174</v>
      </c>
      <c r="K15" s="270" t="s">
        <v>167</v>
      </c>
      <c r="L15" s="271">
        <v>42220</v>
      </c>
      <c r="M15" s="272">
        <v>1.8</v>
      </c>
      <c r="N15" s="272">
        <f>+L15*M15</f>
        <v>75996</v>
      </c>
      <c r="O15" s="272">
        <f t="shared" si="3"/>
        <v>14439.24</v>
      </c>
      <c r="P15" s="367">
        <f t="shared" si="4"/>
        <v>90435.24</v>
      </c>
      <c r="Q15" s="604">
        <v>43563</v>
      </c>
      <c r="R15" s="452" t="s">
        <v>707</v>
      </c>
      <c r="S15" s="271" t="s">
        <v>167</v>
      </c>
      <c r="T15" s="271">
        <v>2091</v>
      </c>
      <c r="U15" s="272">
        <v>33</v>
      </c>
      <c r="V15" s="272">
        <f t="shared" si="5"/>
        <v>69003</v>
      </c>
      <c r="W15" s="187">
        <f t="shared" si="6"/>
        <v>13110.57</v>
      </c>
      <c r="X15" s="367">
        <f t="shared" si="7"/>
        <v>82113.570000000007</v>
      </c>
      <c r="Y15" s="604">
        <v>43472</v>
      </c>
      <c r="Z15" s="266" t="s">
        <v>266</v>
      </c>
      <c r="AA15" s="270" t="s">
        <v>167</v>
      </c>
      <c r="AB15" s="271">
        <v>6181</v>
      </c>
      <c r="AC15" s="272">
        <v>4.3</v>
      </c>
      <c r="AD15" s="272">
        <f t="shared" si="8"/>
        <v>26578.3</v>
      </c>
      <c r="AE15" s="272">
        <f t="shared" si="9"/>
        <v>5049.8769999999995</v>
      </c>
      <c r="AF15" s="367">
        <f t="shared" si="10"/>
        <v>31628.177</v>
      </c>
    </row>
    <row r="16" spans="1:32" x14ac:dyDescent="0.2">
      <c r="A16" s="604">
        <v>43574</v>
      </c>
      <c r="B16" s="266" t="s">
        <v>597</v>
      </c>
      <c r="C16" s="270" t="s">
        <v>167</v>
      </c>
      <c r="D16" s="271">
        <v>33320</v>
      </c>
      <c r="E16" s="272">
        <v>1.45</v>
      </c>
      <c r="F16" s="272">
        <f t="shared" si="0"/>
        <v>48314</v>
      </c>
      <c r="G16" s="272">
        <f t="shared" si="1"/>
        <v>9179.66</v>
      </c>
      <c r="H16" s="367">
        <f t="shared" si="2"/>
        <v>57493.66</v>
      </c>
      <c r="I16" s="604">
        <v>43568</v>
      </c>
      <c r="J16" s="452" t="s">
        <v>174</v>
      </c>
      <c r="K16" s="271" t="s">
        <v>167</v>
      </c>
      <c r="L16" s="271">
        <v>41740</v>
      </c>
      <c r="M16" s="272">
        <v>1.9</v>
      </c>
      <c r="N16" s="272">
        <f>+L16*M16</f>
        <v>79306</v>
      </c>
      <c r="O16" s="272">
        <f t="shared" si="3"/>
        <v>15068.14</v>
      </c>
      <c r="P16" s="367">
        <f t="shared" si="4"/>
        <v>94374.14</v>
      </c>
      <c r="Q16" s="604">
        <v>43642</v>
      </c>
      <c r="R16" s="452" t="s">
        <v>707</v>
      </c>
      <c r="S16" s="271" t="s">
        <v>167</v>
      </c>
      <c r="T16" s="271">
        <v>4282</v>
      </c>
      <c r="U16" s="272">
        <v>33</v>
      </c>
      <c r="V16" s="272">
        <f t="shared" si="5"/>
        <v>141306</v>
      </c>
      <c r="W16" s="187">
        <f t="shared" si="6"/>
        <v>26848.14</v>
      </c>
      <c r="X16" s="367">
        <f t="shared" si="7"/>
        <v>168154.14</v>
      </c>
      <c r="Y16" s="604">
        <v>43473</v>
      </c>
      <c r="Z16" s="266" t="s">
        <v>266</v>
      </c>
      <c r="AA16" s="270" t="s">
        <v>167</v>
      </c>
      <c r="AB16" s="271">
        <v>1347</v>
      </c>
      <c r="AC16" s="272">
        <v>4.3</v>
      </c>
      <c r="AD16" s="272">
        <f t="shared" si="8"/>
        <v>5792.0999999999995</v>
      </c>
      <c r="AE16" s="272">
        <f t="shared" si="9"/>
        <v>1100.4989999999998</v>
      </c>
      <c r="AF16" s="367">
        <f t="shared" si="10"/>
        <v>6892.5989999999993</v>
      </c>
    </row>
    <row r="17" spans="1:32" x14ac:dyDescent="0.2">
      <c r="A17" s="604">
        <v>43616</v>
      </c>
      <c r="B17" s="266" t="s">
        <v>597</v>
      </c>
      <c r="C17" s="270" t="s">
        <v>167</v>
      </c>
      <c r="D17" s="271">
        <v>27720</v>
      </c>
      <c r="E17" s="272">
        <v>1.45</v>
      </c>
      <c r="F17" s="272">
        <f t="shared" si="0"/>
        <v>40194</v>
      </c>
      <c r="G17" s="272">
        <f t="shared" si="1"/>
        <v>7636.86</v>
      </c>
      <c r="H17" s="367">
        <f t="shared" si="2"/>
        <v>47830.86</v>
      </c>
      <c r="I17" s="604">
        <v>43578</v>
      </c>
      <c r="J17" s="452" t="s">
        <v>174</v>
      </c>
      <c r="K17" s="271" t="s">
        <v>167</v>
      </c>
      <c r="L17" s="271">
        <v>43260</v>
      </c>
      <c r="M17" s="272">
        <v>1.9</v>
      </c>
      <c r="N17" s="272">
        <f t="shared" ref="N17:N31" si="11">L17*M17</f>
        <v>82194</v>
      </c>
      <c r="O17" s="187">
        <f t="shared" si="3"/>
        <v>15616.86</v>
      </c>
      <c r="P17" s="367">
        <f t="shared" si="4"/>
        <v>97810.86</v>
      </c>
      <c r="Q17" s="604">
        <v>43692</v>
      </c>
      <c r="R17" s="452" t="s">
        <v>590</v>
      </c>
      <c r="S17" s="271" t="s">
        <v>167</v>
      </c>
      <c r="T17" s="271">
        <v>4100</v>
      </c>
      <c r="U17" s="272">
        <v>33</v>
      </c>
      <c r="V17" s="272">
        <f t="shared" si="5"/>
        <v>135300</v>
      </c>
      <c r="W17" s="187">
        <f t="shared" si="6"/>
        <v>25707</v>
      </c>
      <c r="X17" s="367">
        <f t="shared" si="7"/>
        <v>161007</v>
      </c>
      <c r="Y17" s="604">
        <v>43476</v>
      </c>
      <c r="Z17" s="266" t="s">
        <v>266</v>
      </c>
      <c r="AA17" s="270" t="s">
        <v>167</v>
      </c>
      <c r="AB17" s="271">
        <v>1854</v>
      </c>
      <c r="AC17" s="272">
        <v>4.3</v>
      </c>
      <c r="AD17" s="272">
        <f t="shared" si="8"/>
        <v>7972.2</v>
      </c>
      <c r="AE17" s="272">
        <f t="shared" si="9"/>
        <v>1514.7180000000001</v>
      </c>
      <c r="AF17" s="367">
        <f t="shared" si="10"/>
        <v>9486.9179999999997</v>
      </c>
    </row>
    <row r="18" spans="1:32" x14ac:dyDescent="0.2">
      <c r="A18" s="604">
        <v>43741</v>
      </c>
      <c r="B18" s="266" t="s">
        <v>597</v>
      </c>
      <c r="C18" s="270" t="s">
        <v>167</v>
      </c>
      <c r="D18" s="271">
        <v>22120</v>
      </c>
      <c r="E18" s="272">
        <v>1.5</v>
      </c>
      <c r="F18" s="272">
        <f t="shared" si="0"/>
        <v>33180</v>
      </c>
      <c r="G18" s="272">
        <f t="shared" si="1"/>
        <v>6304.2</v>
      </c>
      <c r="H18" s="367">
        <f t="shared" si="2"/>
        <v>39484.199999999997</v>
      </c>
      <c r="I18" s="604">
        <v>43588</v>
      </c>
      <c r="J18" s="452" t="s">
        <v>174</v>
      </c>
      <c r="K18" s="271" t="s">
        <v>167</v>
      </c>
      <c r="L18" s="271">
        <v>40900</v>
      </c>
      <c r="M18" s="272">
        <v>1.9</v>
      </c>
      <c r="N18" s="272">
        <f t="shared" si="11"/>
        <v>77710</v>
      </c>
      <c r="O18" s="187">
        <f t="shared" si="3"/>
        <v>14764.9</v>
      </c>
      <c r="P18" s="367">
        <f t="shared" si="4"/>
        <v>92474.9</v>
      </c>
      <c r="Q18" s="741">
        <v>43738</v>
      </c>
      <c r="R18" s="742" t="s">
        <v>590</v>
      </c>
      <c r="S18" s="742" t="s">
        <v>167</v>
      </c>
      <c r="T18" s="674">
        <v>3544</v>
      </c>
      <c r="U18" s="675">
        <v>39.5</v>
      </c>
      <c r="V18" s="675">
        <f t="shared" si="5"/>
        <v>139988</v>
      </c>
      <c r="W18" s="676">
        <f t="shared" si="6"/>
        <v>26597.72</v>
      </c>
      <c r="X18" s="677">
        <f t="shared" si="7"/>
        <v>166585.72</v>
      </c>
      <c r="Y18" s="604">
        <v>43480</v>
      </c>
      <c r="Z18" s="266" t="s">
        <v>266</v>
      </c>
      <c r="AA18" s="270" t="s">
        <v>167</v>
      </c>
      <c r="AB18" s="271">
        <v>7782</v>
      </c>
      <c r="AC18" s="272">
        <v>4.3</v>
      </c>
      <c r="AD18" s="272">
        <f t="shared" si="8"/>
        <v>33462.6</v>
      </c>
      <c r="AE18" s="272">
        <f t="shared" si="9"/>
        <v>6357.8940000000002</v>
      </c>
      <c r="AF18" s="367">
        <f t="shared" si="10"/>
        <v>39820.493999999999</v>
      </c>
    </row>
    <row r="19" spans="1:32" x14ac:dyDescent="0.2">
      <c r="A19" s="604">
        <v>43773</v>
      </c>
      <c r="B19" s="266" t="s">
        <v>597</v>
      </c>
      <c r="C19" s="270" t="s">
        <v>167</v>
      </c>
      <c r="D19" s="271">
        <v>37860</v>
      </c>
      <c r="E19" s="272">
        <v>1.5</v>
      </c>
      <c r="F19" s="272">
        <f t="shared" si="0"/>
        <v>56790</v>
      </c>
      <c r="G19" s="272">
        <f t="shared" si="1"/>
        <v>10790.1</v>
      </c>
      <c r="H19" s="367">
        <f t="shared" si="2"/>
        <v>67580.100000000006</v>
      </c>
      <c r="I19" s="604">
        <v>43596</v>
      </c>
      <c r="J19" s="452" t="s">
        <v>174</v>
      </c>
      <c r="K19" s="271" t="s">
        <v>167</v>
      </c>
      <c r="L19" s="271">
        <v>42860</v>
      </c>
      <c r="M19" s="272">
        <v>1.9</v>
      </c>
      <c r="N19" s="272">
        <f t="shared" si="11"/>
        <v>81434</v>
      </c>
      <c r="O19" s="187">
        <f t="shared" si="3"/>
        <v>15472.460000000001</v>
      </c>
      <c r="P19" s="367">
        <f t="shared" si="4"/>
        <v>96906.46</v>
      </c>
      <c r="Q19" s="741">
        <v>43745</v>
      </c>
      <c r="R19" s="742" t="s">
        <v>590</v>
      </c>
      <c r="S19" s="742" t="s">
        <v>167</v>
      </c>
      <c r="T19" s="674">
        <v>2602</v>
      </c>
      <c r="U19" s="675">
        <v>39.5</v>
      </c>
      <c r="V19" s="675">
        <f t="shared" si="5"/>
        <v>102779</v>
      </c>
      <c r="W19" s="676">
        <f t="shared" si="6"/>
        <v>19528.010000000002</v>
      </c>
      <c r="X19" s="677">
        <f t="shared" si="7"/>
        <v>122307.01000000001</v>
      </c>
      <c r="Y19" s="604">
        <v>43481</v>
      </c>
      <c r="Z19" s="266" t="s">
        <v>266</v>
      </c>
      <c r="AA19" s="270" t="s">
        <v>167</v>
      </c>
      <c r="AB19" s="271">
        <v>2776</v>
      </c>
      <c r="AC19" s="272">
        <v>4.3</v>
      </c>
      <c r="AD19" s="272">
        <f t="shared" si="8"/>
        <v>11936.8</v>
      </c>
      <c r="AE19" s="272">
        <f t="shared" si="9"/>
        <v>2267.9919999999997</v>
      </c>
      <c r="AF19" s="367">
        <f t="shared" si="10"/>
        <v>14204.791999999999</v>
      </c>
    </row>
    <row r="20" spans="1:32" x14ac:dyDescent="0.2">
      <c r="A20" s="743"/>
      <c r="H20" s="744"/>
      <c r="I20" s="604">
        <v>43606</v>
      </c>
      <c r="J20" s="452" t="s">
        <v>174</v>
      </c>
      <c r="K20" s="271" t="s">
        <v>167</v>
      </c>
      <c r="L20" s="271">
        <v>41200</v>
      </c>
      <c r="M20" s="272">
        <v>1.9</v>
      </c>
      <c r="N20" s="272">
        <f t="shared" si="11"/>
        <v>78280</v>
      </c>
      <c r="O20" s="187">
        <f t="shared" si="3"/>
        <v>14873.2</v>
      </c>
      <c r="P20" s="367">
        <f t="shared" si="4"/>
        <v>93153.2</v>
      </c>
      <c r="Q20" s="745"/>
      <c r="R20" s="788" t="s">
        <v>590</v>
      </c>
      <c r="S20" s="788" t="s">
        <v>167</v>
      </c>
      <c r="T20" s="789">
        <v>1787</v>
      </c>
      <c r="U20" s="187"/>
      <c r="W20" s="187"/>
      <c r="X20" s="744"/>
      <c r="Y20" s="604">
        <v>43482</v>
      </c>
      <c r="Z20" s="266" t="s">
        <v>266</v>
      </c>
      <c r="AA20" s="270" t="s">
        <v>167</v>
      </c>
      <c r="AB20" s="271">
        <v>2510</v>
      </c>
      <c r="AC20" s="272">
        <v>4.5</v>
      </c>
      <c r="AD20" s="272">
        <f t="shared" si="8"/>
        <v>11295</v>
      </c>
      <c r="AE20" s="272">
        <f t="shared" si="9"/>
        <v>2146.0500000000002</v>
      </c>
      <c r="AF20" s="367">
        <f t="shared" si="10"/>
        <v>13441.05</v>
      </c>
    </row>
    <row r="21" spans="1:32" x14ac:dyDescent="0.2">
      <c r="A21" s="743"/>
      <c r="H21" s="744"/>
      <c r="I21" s="604">
        <v>43617</v>
      </c>
      <c r="J21" s="452" t="s">
        <v>174</v>
      </c>
      <c r="K21" s="271" t="s">
        <v>167</v>
      </c>
      <c r="L21" s="271">
        <v>39700</v>
      </c>
      <c r="M21" s="272">
        <v>1.9</v>
      </c>
      <c r="N21" s="272">
        <f t="shared" si="11"/>
        <v>75430</v>
      </c>
      <c r="O21" s="187">
        <f t="shared" si="3"/>
        <v>14331.7</v>
      </c>
      <c r="P21" s="367">
        <f t="shared" si="4"/>
        <v>89761.7</v>
      </c>
      <c r="Q21" s="745"/>
      <c r="T21" s="187"/>
      <c r="U21" s="187"/>
      <c r="X21" s="744"/>
      <c r="Y21" s="604">
        <v>43483</v>
      </c>
      <c r="Z21" s="266" t="s">
        <v>266</v>
      </c>
      <c r="AA21" s="270" t="s">
        <v>167</v>
      </c>
      <c r="AB21" s="271">
        <v>1997</v>
      </c>
      <c r="AC21" s="272">
        <v>4.5</v>
      </c>
      <c r="AD21" s="272">
        <f t="shared" si="8"/>
        <v>8986.5</v>
      </c>
      <c r="AE21" s="272">
        <f t="shared" si="9"/>
        <v>1707.4349999999999</v>
      </c>
      <c r="AF21" s="367">
        <f t="shared" si="10"/>
        <v>10693.934999999999</v>
      </c>
    </row>
    <row r="22" spans="1:32" x14ac:dyDescent="0.2">
      <c r="A22" s="743"/>
      <c r="H22" s="744"/>
      <c r="I22" s="604">
        <v>43642</v>
      </c>
      <c r="J22" s="452" t="s">
        <v>174</v>
      </c>
      <c r="K22" s="271" t="s">
        <v>167</v>
      </c>
      <c r="L22" s="271">
        <v>42180</v>
      </c>
      <c r="M22" s="272">
        <v>1.9</v>
      </c>
      <c r="N22" s="272">
        <f t="shared" si="11"/>
        <v>80142</v>
      </c>
      <c r="O22" s="187">
        <f t="shared" si="3"/>
        <v>15226.98</v>
      </c>
      <c r="P22" s="367">
        <f t="shared" si="4"/>
        <v>95368.98</v>
      </c>
      <c r="Q22" s="745"/>
      <c r="T22" s="187"/>
      <c r="U22" s="187"/>
      <c r="X22" s="744"/>
      <c r="Y22" s="604">
        <v>43489</v>
      </c>
      <c r="Z22" s="266" t="s">
        <v>266</v>
      </c>
      <c r="AA22" s="270" t="s">
        <v>167</v>
      </c>
      <c r="AB22" s="271">
        <v>1286</v>
      </c>
      <c r="AC22" s="272">
        <v>4.5</v>
      </c>
      <c r="AD22" s="272">
        <f t="shared" si="8"/>
        <v>5787</v>
      </c>
      <c r="AE22" s="272">
        <f t="shared" si="9"/>
        <v>1099.53</v>
      </c>
      <c r="AF22" s="367">
        <f t="shared" si="10"/>
        <v>6886.53</v>
      </c>
    </row>
    <row r="23" spans="1:32" x14ac:dyDescent="0.2">
      <c r="A23" s="743"/>
      <c r="H23" s="744"/>
      <c r="I23" s="604">
        <v>43657</v>
      </c>
      <c r="J23" s="452" t="s">
        <v>174</v>
      </c>
      <c r="K23" s="271" t="s">
        <v>167</v>
      </c>
      <c r="L23" s="271">
        <v>39040</v>
      </c>
      <c r="M23" s="272">
        <v>2</v>
      </c>
      <c r="N23" s="272">
        <f t="shared" si="11"/>
        <v>78080</v>
      </c>
      <c r="O23" s="187">
        <f t="shared" si="3"/>
        <v>14835.2</v>
      </c>
      <c r="P23" s="367">
        <f t="shared" si="4"/>
        <v>92915.199999999997</v>
      </c>
      <c r="Q23" s="745"/>
      <c r="T23" s="187"/>
      <c r="U23" s="187"/>
      <c r="W23" s="187"/>
      <c r="X23" s="744"/>
      <c r="Y23" s="604">
        <v>43495</v>
      </c>
      <c r="Z23" s="266" t="s">
        <v>266</v>
      </c>
      <c r="AA23" s="270" t="s">
        <v>167</v>
      </c>
      <c r="AB23" s="271">
        <v>3574</v>
      </c>
      <c r="AC23" s="272">
        <v>4.5</v>
      </c>
      <c r="AD23" s="272">
        <f t="shared" si="8"/>
        <v>16083</v>
      </c>
      <c r="AE23" s="272">
        <f t="shared" si="9"/>
        <v>3055.77</v>
      </c>
      <c r="AF23" s="367">
        <f t="shared" si="10"/>
        <v>19138.77</v>
      </c>
    </row>
    <row r="24" spans="1:32" x14ac:dyDescent="0.2">
      <c r="A24" s="743"/>
      <c r="H24" s="744"/>
      <c r="I24" s="604">
        <v>43686</v>
      </c>
      <c r="J24" s="452" t="s">
        <v>174</v>
      </c>
      <c r="K24" s="271" t="s">
        <v>167</v>
      </c>
      <c r="L24" s="271">
        <v>40980</v>
      </c>
      <c r="M24" s="272">
        <v>2.1</v>
      </c>
      <c r="N24" s="272">
        <f t="shared" si="11"/>
        <v>86058</v>
      </c>
      <c r="O24" s="187">
        <f t="shared" si="3"/>
        <v>16351.02</v>
      </c>
      <c r="P24" s="367">
        <f t="shared" si="4"/>
        <v>102409.02</v>
      </c>
      <c r="Q24" s="745"/>
      <c r="S24" s="180"/>
      <c r="X24" s="744"/>
      <c r="Y24" s="604">
        <v>43511</v>
      </c>
      <c r="Z24" s="266" t="s">
        <v>266</v>
      </c>
      <c r="AA24" s="270" t="s">
        <v>167</v>
      </c>
      <c r="AB24" s="271">
        <v>2428</v>
      </c>
      <c r="AC24" s="272">
        <v>4.5</v>
      </c>
      <c r="AD24" s="272">
        <f t="shared" si="8"/>
        <v>10926</v>
      </c>
      <c r="AE24" s="272">
        <f t="shared" si="9"/>
        <v>2075.94</v>
      </c>
      <c r="AF24" s="367">
        <f t="shared" si="10"/>
        <v>13001.94</v>
      </c>
    </row>
    <row r="25" spans="1:32" x14ac:dyDescent="0.2">
      <c r="A25" s="743"/>
      <c r="H25" s="744"/>
      <c r="I25" s="604">
        <v>43712</v>
      </c>
      <c r="J25" s="452" t="s">
        <v>174</v>
      </c>
      <c r="K25" s="271" t="s">
        <v>167</v>
      </c>
      <c r="L25" s="271">
        <v>41780</v>
      </c>
      <c r="M25" s="272">
        <v>2.1</v>
      </c>
      <c r="N25" s="272">
        <f t="shared" si="11"/>
        <v>87738</v>
      </c>
      <c r="O25" s="187">
        <f t="shared" si="3"/>
        <v>16670.22</v>
      </c>
      <c r="P25" s="367">
        <f t="shared" si="4"/>
        <v>104408.22</v>
      </c>
      <c r="Q25" s="745"/>
      <c r="X25" s="744"/>
      <c r="Y25" s="604">
        <v>43514</v>
      </c>
      <c r="Z25" s="266" t="s">
        <v>266</v>
      </c>
      <c r="AA25" s="270" t="s">
        <v>167</v>
      </c>
      <c r="AB25" s="271">
        <v>2570</v>
      </c>
      <c r="AC25" s="272">
        <v>4.5</v>
      </c>
      <c r="AD25" s="272">
        <f t="shared" si="8"/>
        <v>11565</v>
      </c>
      <c r="AE25" s="272">
        <f t="shared" si="9"/>
        <v>2197.35</v>
      </c>
      <c r="AF25" s="367">
        <f t="shared" si="10"/>
        <v>13762.35</v>
      </c>
    </row>
    <row r="26" spans="1:32" x14ac:dyDescent="0.2">
      <c r="A26" s="743"/>
      <c r="H26" s="744"/>
      <c r="I26" s="604">
        <v>43736</v>
      </c>
      <c r="J26" s="452" t="s">
        <v>174</v>
      </c>
      <c r="K26" s="271" t="s">
        <v>167</v>
      </c>
      <c r="L26" s="271">
        <v>43080</v>
      </c>
      <c r="M26" s="272">
        <v>2.1</v>
      </c>
      <c r="N26" s="272">
        <f t="shared" si="11"/>
        <v>90468</v>
      </c>
      <c r="O26" s="187">
        <f t="shared" si="3"/>
        <v>17188.920000000002</v>
      </c>
      <c r="P26" s="367">
        <f t="shared" si="4"/>
        <v>107656.92</v>
      </c>
      <c r="Q26" s="745"/>
      <c r="X26" s="744"/>
      <c r="Y26" s="604">
        <v>43516</v>
      </c>
      <c r="Z26" s="266" t="s">
        <v>266</v>
      </c>
      <c r="AA26" s="270" t="s">
        <v>167</v>
      </c>
      <c r="AB26" s="271">
        <v>5054</v>
      </c>
      <c r="AC26" s="272">
        <v>4.5</v>
      </c>
      <c r="AD26" s="272">
        <f t="shared" si="8"/>
        <v>22743</v>
      </c>
      <c r="AE26" s="272">
        <f t="shared" si="9"/>
        <v>4321.17</v>
      </c>
      <c r="AF26" s="367">
        <f t="shared" si="10"/>
        <v>27064.17</v>
      </c>
    </row>
    <row r="27" spans="1:32" x14ac:dyDescent="0.2">
      <c r="A27" s="743"/>
      <c r="H27" s="744"/>
      <c r="I27" s="604">
        <v>43753</v>
      </c>
      <c r="J27" s="452" t="s">
        <v>174</v>
      </c>
      <c r="K27" s="271" t="s">
        <v>167</v>
      </c>
      <c r="L27" s="271">
        <v>41680</v>
      </c>
      <c r="M27" s="272">
        <v>2.1</v>
      </c>
      <c r="N27" s="272">
        <f t="shared" si="11"/>
        <v>87528</v>
      </c>
      <c r="O27" s="187">
        <f t="shared" si="3"/>
        <v>16630.32</v>
      </c>
      <c r="P27" s="367">
        <f t="shared" si="4"/>
        <v>104158.32</v>
      </c>
      <c r="Q27" s="745"/>
      <c r="U27" s="187"/>
      <c r="X27" s="744"/>
      <c r="Y27" s="604">
        <v>43518</v>
      </c>
      <c r="Z27" s="266" t="s">
        <v>266</v>
      </c>
      <c r="AA27" s="270" t="s">
        <v>167</v>
      </c>
      <c r="AB27" s="271">
        <v>2298</v>
      </c>
      <c r="AC27" s="272">
        <v>4.5</v>
      </c>
      <c r="AD27" s="272">
        <f t="shared" si="8"/>
        <v>10341</v>
      </c>
      <c r="AE27" s="272">
        <f t="shared" si="9"/>
        <v>1964.79</v>
      </c>
      <c r="AF27" s="367">
        <f t="shared" si="10"/>
        <v>12305.79</v>
      </c>
    </row>
    <row r="28" spans="1:32" x14ac:dyDescent="0.2">
      <c r="A28" s="743"/>
      <c r="H28" s="744"/>
      <c r="I28" s="604">
        <v>43771</v>
      </c>
      <c r="J28" s="452" t="s">
        <v>174</v>
      </c>
      <c r="K28" s="271" t="s">
        <v>167</v>
      </c>
      <c r="L28" s="271">
        <v>38360</v>
      </c>
      <c r="M28" s="272">
        <v>2.2000000000000002</v>
      </c>
      <c r="N28" s="272">
        <f t="shared" si="11"/>
        <v>84392</v>
      </c>
      <c r="O28" s="187">
        <f t="shared" si="3"/>
        <v>16034.48</v>
      </c>
      <c r="P28" s="367">
        <f t="shared" si="4"/>
        <v>100426.48</v>
      </c>
      <c r="Q28" s="745"/>
      <c r="X28" s="744"/>
      <c r="Y28" s="604">
        <v>43521</v>
      </c>
      <c r="Z28" s="266" t="s">
        <v>266</v>
      </c>
      <c r="AA28" s="270" t="s">
        <v>167</v>
      </c>
      <c r="AB28" s="271">
        <v>5067</v>
      </c>
      <c r="AC28" s="272">
        <v>4.5</v>
      </c>
      <c r="AD28" s="272">
        <f t="shared" si="8"/>
        <v>22801.5</v>
      </c>
      <c r="AE28" s="272">
        <f t="shared" si="9"/>
        <v>4332.2849999999999</v>
      </c>
      <c r="AF28" s="367">
        <f t="shared" si="10"/>
        <v>27133.785</v>
      </c>
    </row>
    <row r="29" spans="1:32" x14ac:dyDescent="0.2">
      <c r="A29" s="743"/>
      <c r="H29" s="744"/>
      <c r="I29" s="604">
        <v>43790</v>
      </c>
      <c r="J29" s="15" t="s">
        <v>174</v>
      </c>
      <c r="K29" s="15" t="s">
        <v>167</v>
      </c>
      <c r="L29" s="271">
        <v>39400</v>
      </c>
      <c r="M29" s="272">
        <v>2.2000000000000002</v>
      </c>
      <c r="N29" s="272">
        <f t="shared" si="11"/>
        <v>86680</v>
      </c>
      <c r="O29" s="187">
        <f t="shared" si="3"/>
        <v>16469.2</v>
      </c>
      <c r="P29" s="367">
        <f t="shared" si="4"/>
        <v>103149.2</v>
      </c>
      <c r="Q29" s="745"/>
      <c r="U29" s="187"/>
      <c r="X29" s="744"/>
      <c r="Y29" s="604">
        <v>43524</v>
      </c>
      <c r="Z29" s="266" t="s">
        <v>266</v>
      </c>
      <c r="AA29" s="270" t="s">
        <v>167</v>
      </c>
      <c r="AB29" s="271">
        <v>9087</v>
      </c>
      <c r="AC29" s="272">
        <v>4.5</v>
      </c>
      <c r="AD29" s="272">
        <f t="shared" si="8"/>
        <v>40891.5</v>
      </c>
      <c r="AE29" s="272">
        <f t="shared" si="9"/>
        <v>7769.3850000000002</v>
      </c>
      <c r="AF29" s="367">
        <f t="shared" si="10"/>
        <v>48660.885000000002</v>
      </c>
    </row>
    <row r="30" spans="1:32" x14ac:dyDescent="0.2">
      <c r="A30" s="743"/>
      <c r="H30" s="744"/>
      <c r="I30" s="604">
        <v>43802</v>
      </c>
      <c r="J30" s="15" t="s">
        <v>174</v>
      </c>
      <c r="K30" s="15" t="s">
        <v>167</v>
      </c>
      <c r="L30" s="271">
        <v>41500</v>
      </c>
      <c r="M30" s="272">
        <v>2.2000000000000002</v>
      </c>
      <c r="N30" s="272">
        <f t="shared" si="11"/>
        <v>91300.000000000015</v>
      </c>
      <c r="O30" s="187">
        <f t="shared" si="3"/>
        <v>17347.000000000004</v>
      </c>
      <c r="P30" s="367">
        <f t="shared" si="4"/>
        <v>108647.00000000001</v>
      </c>
      <c r="Q30" s="745"/>
      <c r="U30" s="187"/>
      <c r="X30" s="744"/>
      <c r="Y30" s="604">
        <v>43558</v>
      </c>
      <c r="Z30" s="266" t="s">
        <v>266</v>
      </c>
      <c r="AA30" s="270" t="s">
        <v>167</v>
      </c>
      <c r="AB30" s="271">
        <v>2334</v>
      </c>
      <c r="AC30" s="272">
        <v>4.5</v>
      </c>
      <c r="AD30" s="272">
        <f t="shared" si="8"/>
        <v>10503</v>
      </c>
      <c r="AE30" s="272">
        <f t="shared" si="9"/>
        <v>1995.57</v>
      </c>
      <c r="AF30" s="367">
        <f t="shared" si="10"/>
        <v>12498.57</v>
      </c>
    </row>
    <row r="31" spans="1:32" x14ac:dyDescent="0.2">
      <c r="A31" s="743"/>
      <c r="H31" s="744"/>
      <c r="I31" s="604">
        <v>43817</v>
      </c>
      <c r="J31" s="15" t="s">
        <v>174</v>
      </c>
      <c r="K31" s="15" t="s">
        <v>167</v>
      </c>
      <c r="L31" s="271">
        <v>40500</v>
      </c>
      <c r="M31" s="272">
        <v>2.2000000000000002</v>
      </c>
      <c r="N31" s="272">
        <f t="shared" si="11"/>
        <v>89100</v>
      </c>
      <c r="O31" s="187">
        <f t="shared" si="3"/>
        <v>16929</v>
      </c>
      <c r="P31" s="367">
        <f t="shared" si="4"/>
        <v>106029</v>
      </c>
      <c r="Q31" s="745"/>
      <c r="U31" s="187"/>
      <c r="X31" s="744"/>
      <c r="Y31" s="604">
        <v>43563</v>
      </c>
      <c r="Z31" s="266" t="s">
        <v>266</v>
      </c>
      <c r="AA31" s="270" t="s">
        <v>167</v>
      </c>
      <c r="AB31" s="271">
        <v>5570</v>
      </c>
      <c r="AC31" s="272">
        <v>4.5</v>
      </c>
      <c r="AD31" s="272">
        <f t="shared" si="8"/>
        <v>25065</v>
      </c>
      <c r="AE31" s="272">
        <f t="shared" si="9"/>
        <v>4762.3500000000004</v>
      </c>
      <c r="AF31" s="367">
        <f t="shared" si="10"/>
        <v>29827.35</v>
      </c>
    </row>
    <row r="32" spans="1:32" x14ac:dyDescent="0.2">
      <c r="A32" s="743"/>
      <c r="H32" s="744"/>
      <c r="I32" s="604"/>
      <c r="L32" s="271"/>
      <c r="M32" s="272"/>
      <c r="N32" s="272"/>
      <c r="O32" s="187"/>
      <c r="P32" s="367"/>
      <c r="Q32" s="745"/>
      <c r="U32" s="187"/>
      <c r="X32" s="744"/>
      <c r="Y32" s="604">
        <v>43570</v>
      </c>
      <c r="Z32" s="452" t="s">
        <v>266</v>
      </c>
      <c r="AA32" s="271" t="s">
        <v>167</v>
      </c>
      <c r="AB32" s="271">
        <v>6519</v>
      </c>
      <c r="AC32" s="272">
        <v>4.5</v>
      </c>
      <c r="AD32" s="272">
        <f t="shared" ref="AD32:AD86" si="12">AB32*AC32</f>
        <v>29335.5</v>
      </c>
      <c r="AE32" s="187">
        <f t="shared" si="9"/>
        <v>5573.7449999999999</v>
      </c>
      <c r="AF32" s="367">
        <f t="shared" si="10"/>
        <v>34909.245000000003</v>
      </c>
    </row>
    <row r="33" spans="1:32" ht="13.5" thickBot="1" x14ac:dyDescent="0.25">
      <c r="A33" s="746"/>
      <c r="B33" s="361"/>
      <c r="C33" s="361"/>
      <c r="D33" s="361"/>
      <c r="E33" s="361"/>
      <c r="F33" s="361"/>
      <c r="G33" s="361"/>
      <c r="H33" s="747"/>
      <c r="I33" s="746"/>
      <c r="J33" s="361"/>
      <c r="K33" s="361"/>
      <c r="L33" s="361"/>
      <c r="M33" s="361"/>
      <c r="N33" s="361"/>
      <c r="O33" s="361"/>
      <c r="P33" s="747"/>
      <c r="Q33" s="512"/>
      <c r="R33" s="361"/>
      <c r="S33" s="363"/>
      <c r="T33" s="361"/>
      <c r="U33" s="361"/>
      <c r="V33" s="361"/>
      <c r="W33" s="361"/>
      <c r="X33" s="747"/>
      <c r="Y33" s="604">
        <v>43573</v>
      </c>
      <c r="Z33" s="452" t="s">
        <v>266</v>
      </c>
      <c r="AA33" s="271" t="s">
        <v>167</v>
      </c>
      <c r="AB33" s="271">
        <v>3652</v>
      </c>
      <c r="AC33" s="272">
        <v>4.5</v>
      </c>
      <c r="AD33" s="272">
        <f t="shared" si="12"/>
        <v>16434</v>
      </c>
      <c r="AE33" s="187">
        <f t="shared" si="9"/>
        <v>3122.46</v>
      </c>
      <c r="AF33" s="367">
        <f t="shared" si="10"/>
        <v>19556.46</v>
      </c>
    </row>
    <row r="34" spans="1:32" x14ac:dyDescent="0.2">
      <c r="Y34" s="604">
        <v>43574</v>
      </c>
      <c r="Z34" s="452" t="s">
        <v>266</v>
      </c>
      <c r="AA34" s="271" t="s">
        <v>167</v>
      </c>
      <c r="AB34" s="271">
        <v>4299</v>
      </c>
      <c r="AC34" s="272">
        <v>4.5</v>
      </c>
      <c r="AD34" s="272">
        <f t="shared" si="12"/>
        <v>19345.5</v>
      </c>
      <c r="AE34" s="187">
        <f t="shared" si="9"/>
        <v>3675.645</v>
      </c>
      <c r="AF34" s="367">
        <f t="shared" si="10"/>
        <v>23021.145</v>
      </c>
    </row>
    <row r="35" spans="1:32" x14ac:dyDescent="0.2">
      <c r="K35" s="187"/>
      <c r="Y35" s="604">
        <v>43574</v>
      </c>
      <c r="Z35" s="452" t="s">
        <v>266</v>
      </c>
      <c r="AA35" s="271" t="s">
        <v>167</v>
      </c>
      <c r="AB35" s="271">
        <v>2561</v>
      </c>
      <c r="AC35" s="272">
        <v>4.5</v>
      </c>
      <c r="AD35" s="272">
        <f t="shared" si="12"/>
        <v>11524.5</v>
      </c>
      <c r="AE35" s="187">
        <f t="shared" si="9"/>
        <v>2189.6550000000002</v>
      </c>
      <c r="AF35" s="367">
        <f t="shared" si="10"/>
        <v>13714.155000000001</v>
      </c>
    </row>
    <row r="36" spans="1:32" x14ac:dyDescent="0.2">
      <c r="T36" s="180"/>
      <c r="Y36" s="604">
        <v>43578</v>
      </c>
      <c r="Z36" s="452" t="s">
        <v>266</v>
      </c>
      <c r="AA36" s="271" t="s">
        <v>167</v>
      </c>
      <c r="AB36" s="271">
        <v>1300</v>
      </c>
      <c r="AC36" s="272">
        <v>4.5</v>
      </c>
      <c r="AD36" s="272">
        <f t="shared" si="12"/>
        <v>5850</v>
      </c>
      <c r="AE36" s="187">
        <f t="shared" si="9"/>
        <v>1111.5</v>
      </c>
      <c r="AF36" s="367">
        <f t="shared" si="10"/>
        <v>6961.5</v>
      </c>
    </row>
    <row r="37" spans="1:32" x14ac:dyDescent="0.2">
      <c r="K37" s="180"/>
      <c r="V37" s="187"/>
      <c r="Y37" s="604">
        <v>43582</v>
      </c>
      <c r="Z37" s="452" t="s">
        <v>266</v>
      </c>
      <c r="AA37" s="271" t="s">
        <v>167</v>
      </c>
      <c r="AB37" s="271">
        <v>5577</v>
      </c>
      <c r="AC37" s="272">
        <v>4.5</v>
      </c>
      <c r="AD37" s="272">
        <f t="shared" si="12"/>
        <v>25096.5</v>
      </c>
      <c r="AE37" s="187">
        <f t="shared" si="9"/>
        <v>4768.335</v>
      </c>
      <c r="AF37" s="367">
        <f t="shared" si="10"/>
        <v>29864.834999999999</v>
      </c>
    </row>
    <row r="38" spans="1:32" x14ac:dyDescent="0.2">
      <c r="Y38" s="604">
        <v>43585</v>
      </c>
      <c r="Z38" s="452" t="s">
        <v>266</v>
      </c>
      <c r="AA38" s="271" t="s">
        <v>167</v>
      </c>
      <c r="AB38" s="272">
        <v>4454</v>
      </c>
      <c r="AC38" s="272">
        <v>4.5</v>
      </c>
      <c r="AD38" s="272">
        <f t="shared" si="12"/>
        <v>20043</v>
      </c>
      <c r="AE38" s="187">
        <f t="shared" si="9"/>
        <v>3808.17</v>
      </c>
      <c r="AF38" s="367">
        <f t="shared" si="10"/>
        <v>23851.17</v>
      </c>
    </row>
    <row r="39" spans="1:32" x14ac:dyDescent="0.2">
      <c r="Y39" s="604">
        <v>43592</v>
      </c>
      <c r="Z39" s="266" t="s">
        <v>266</v>
      </c>
      <c r="AA39" s="271" t="s">
        <v>167</v>
      </c>
      <c r="AB39" s="272">
        <v>1040</v>
      </c>
      <c r="AC39" s="272">
        <v>4.4000000000000004</v>
      </c>
      <c r="AD39" s="272">
        <f t="shared" si="12"/>
        <v>4576</v>
      </c>
      <c r="AE39" s="187">
        <f t="shared" si="9"/>
        <v>869.44</v>
      </c>
      <c r="AF39" s="367">
        <f t="shared" si="10"/>
        <v>5445.4400000000005</v>
      </c>
    </row>
    <row r="40" spans="1:32" x14ac:dyDescent="0.2">
      <c r="Y40" s="604">
        <v>43598</v>
      </c>
      <c r="Z40" s="266" t="s">
        <v>266</v>
      </c>
      <c r="AA40" s="271" t="s">
        <v>167</v>
      </c>
      <c r="AB40" s="272">
        <v>2608</v>
      </c>
      <c r="AC40" s="272">
        <v>4.4000000000000004</v>
      </c>
      <c r="AD40" s="272">
        <f t="shared" si="12"/>
        <v>11475.2</v>
      </c>
      <c r="AE40" s="187">
        <f t="shared" si="9"/>
        <v>2180.288</v>
      </c>
      <c r="AF40" s="367">
        <f t="shared" si="10"/>
        <v>13655.488000000001</v>
      </c>
    </row>
    <row r="41" spans="1:32" x14ac:dyDescent="0.2">
      <c r="Y41" s="604">
        <v>43601</v>
      </c>
      <c r="Z41" s="266" t="s">
        <v>266</v>
      </c>
      <c r="AA41" s="270" t="s">
        <v>167</v>
      </c>
      <c r="AB41" s="271">
        <v>6423</v>
      </c>
      <c r="AC41" s="272">
        <v>4.4000000000000004</v>
      </c>
      <c r="AD41" s="272">
        <f t="shared" si="12"/>
        <v>28261.200000000001</v>
      </c>
      <c r="AE41" s="272">
        <f t="shared" si="9"/>
        <v>5369.6280000000006</v>
      </c>
      <c r="AF41" s="367">
        <f t="shared" si="10"/>
        <v>33630.828000000001</v>
      </c>
    </row>
    <row r="42" spans="1:32" x14ac:dyDescent="0.2">
      <c r="Y42" s="604">
        <v>43602</v>
      </c>
      <c r="Z42" s="266" t="s">
        <v>266</v>
      </c>
      <c r="AA42" s="270" t="s">
        <v>167</v>
      </c>
      <c r="AB42" s="271">
        <v>3593</v>
      </c>
      <c r="AC42" s="272">
        <v>4.4000000000000004</v>
      </c>
      <c r="AD42" s="272">
        <f t="shared" si="12"/>
        <v>15809.2</v>
      </c>
      <c r="AE42" s="272">
        <f t="shared" si="9"/>
        <v>3003.748</v>
      </c>
      <c r="AF42" s="367">
        <f t="shared" si="10"/>
        <v>18812.948</v>
      </c>
    </row>
    <row r="43" spans="1:32" x14ac:dyDescent="0.2">
      <c r="Y43" s="604">
        <v>43605</v>
      </c>
      <c r="Z43" s="266" t="s">
        <v>266</v>
      </c>
      <c r="AA43" s="270" t="s">
        <v>167</v>
      </c>
      <c r="AB43" s="271">
        <v>5908</v>
      </c>
      <c r="AC43" s="272">
        <v>4.4000000000000004</v>
      </c>
      <c r="AD43" s="272">
        <f t="shared" si="12"/>
        <v>25995.200000000001</v>
      </c>
      <c r="AE43" s="272">
        <f t="shared" si="9"/>
        <v>4939.0880000000006</v>
      </c>
      <c r="AF43" s="367">
        <f t="shared" si="10"/>
        <v>30934.288</v>
      </c>
    </row>
    <row r="44" spans="1:32" x14ac:dyDescent="0.2">
      <c r="Y44" s="604">
        <v>43606</v>
      </c>
      <c r="Z44" s="266" t="s">
        <v>266</v>
      </c>
      <c r="AA44" s="270" t="s">
        <v>167</v>
      </c>
      <c r="AB44" s="271">
        <v>2536</v>
      </c>
      <c r="AC44" s="272">
        <v>4.4000000000000004</v>
      </c>
      <c r="AD44" s="272">
        <f t="shared" si="12"/>
        <v>11158.400000000001</v>
      </c>
      <c r="AE44" s="272">
        <f t="shared" si="9"/>
        <v>2120.0960000000005</v>
      </c>
      <c r="AF44" s="367">
        <f t="shared" si="10"/>
        <v>13278.496000000003</v>
      </c>
    </row>
    <row r="45" spans="1:32" x14ac:dyDescent="0.2">
      <c r="Y45" s="604">
        <v>43612</v>
      </c>
      <c r="Z45" s="266" t="s">
        <v>266</v>
      </c>
      <c r="AA45" s="270" t="s">
        <v>167</v>
      </c>
      <c r="AB45" s="271">
        <v>2745</v>
      </c>
      <c r="AC45" s="272">
        <v>4.4000000000000004</v>
      </c>
      <c r="AD45" s="272">
        <f t="shared" si="12"/>
        <v>12078.000000000002</v>
      </c>
      <c r="AE45" s="272">
        <f t="shared" si="9"/>
        <v>2294.8200000000002</v>
      </c>
      <c r="AF45" s="367">
        <f t="shared" si="10"/>
        <v>14372.820000000002</v>
      </c>
    </row>
    <row r="46" spans="1:32" x14ac:dyDescent="0.2">
      <c r="Y46" s="604">
        <v>43615</v>
      </c>
      <c r="Z46" s="266" t="s">
        <v>266</v>
      </c>
      <c r="AA46" s="270" t="s">
        <v>167</v>
      </c>
      <c r="AB46" s="271">
        <v>1657</v>
      </c>
      <c r="AC46" s="272">
        <v>4.4000000000000004</v>
      </c>
      <c r="AD46" s="272">
        <f t="shared" si="12"/>
        <v>7290.8</v>
      </c>
      <c r="AE46" s="272">
        <f t="shared" si="9"/>
        <v>1385.252</v>
      </c>
      <c r="AF46" s="367">
        <f t="shared" si="10"/>
        <v>8676.0519999999997</v>
      </c>
    </row>
    <row r="47" spans="1:32" x14ac:dyDescent="0.2">
      <c r="Y47" s="604">
        <v>43629</v>
      </c>
      <c r="Z47" s="266" t="s">
        <v>266</v>
      </c>
      <c r="AA47" s="270" t="s">
        <v>167</v>
      </c>
      <c r="AB47" s="271">
        <f>5791+1736</f>
        <v>7527</v>
      </c>
      <c r="AC47" s="272">
        <v>4.3</v>
      </c>
      <c r="AD47" s="272">
        <f t="shared" si="12"/>
        <v>32366.1</v>
      </c>
      <c r="AE47" s="272">
        <f t="shared" si="9"/>
        <v>6149.5590000000002</v>
      </c>
      <c r="AF47" s="367">
        <f t="shared" si="10"/>
        <v>38515.659</v>
      </c>
    </row>
    <row r="48" spans="1:32" x14ac:dyDescent="0.2">
      <c r="Y48" s="604">
        <v>43637</v>
      </c>
      <c r="Z48" s="266" t="s">
        <v>266</v>
      </c>
      <c r="AA48" s="270" t="s">
        <v>167</v>
      </c>
      <c r="AB48" s="271">
        <v>1797</v>
      </c>
      <c r="AC48" s="272">
        <v>4.3</v>
      </c>
      <c r="AD48" s="272">
        <f t="shared" si="12"/>
        <v>7727.0999999999995</v>
      </c>
      <c r="AE48" s="272">
        <f t="shared" si="9"/>
        <v>1468.1489999999999</v>
      </c>
      <c r="AF48" s="367">
        <f t="shared" si="10"/>
        <v>9195.2489999999998</v>
      </c>
    </row>
    <row r="49" spans="25:32" x14ac:dyDescent="0.2">
      <c r="Y49" s="604">
        <v>43641</v>
      </c>
      <c r="Z49" s="266" t="s">
        <v>266</v>
      </c>
      <c r="AA49" s="270" t="s">
        <v>167</v>
      </c>
      <c r="AB49" s="271">
        <v>4054</v>
      </c>
      <c r="AC49" s="272">
        <v>4.3</v>
      </c>
      <c r="AD49" s="272">
        <f t="shared" si="12"/>
        <v>17432.2</v>
      </c>
      <c r="AE49" s="272">
        <f t="shared" si="9"/>
        <v>3312.1180000000004</v>
      </c>
      <c r="AF49" s="367">
        <f t="shared" si="10"/>
        <v>20744.317999999999</v>
      </c>
    </row>
    <row r="50" spans="25:32" x14ac:dyDescent="0.2">
      <c r="Y50" s="604">
        <v>43644</v>
      </c>
      <c r="Z50" s="266" t="s">
        <v>266</v>
      </c>
      <c r="AA50" s="270" t="s">
        <v>167</v>
      </c>
      <c r="AB50" s="271">
        <v>13271</v>
      </c>
      <c r="AC50" s="272">
        <v>4.3</v>
      </c>
      <c r="AD50" s="272">
        <f t="shared" si="12"/>
        <v>57065.299999999996</v>
      </c>
      <c r="AE50" s="272">
        <f t="shared" si="9"/>
        <v>10842.406999999999</v>
      </c>
      <c r="AF50" s="367">
        <f t="shared" si="10"/>
        <v>67907.706999999995</v>
      </c>
    </row>
    <row r="51" spans="25:32" x14ac:dyDescent="0.2">
      <c r="Y51" s="604">
        <v>43649</v>
      </c>
      <c r="Z51" s="266" t="s">
        <v>266</v>
      </c>
      <c r="AA51" s="270" t="s">
        <v>167</v>
      </c>
      <c r="AB51" s="271">
        <v>6018</v>
      </c>
      <c r="AC51" s="272">
        <v>4.4000000000000004</v>
      </c>
      <c r="AD51" s="272">
        <f t="shared" si="12"/>
        <v>26479.200000000001</v>
      </c>
      <c r="AE51" s="272">
        <f t="shared" si="9"/>
        <v>5031.0479999999998</v>
      </c>
      <c r="AF51" s="367">
        <f t="shared" si="10"/>
        <v>31510.248</v>
      </c>
    </row>
    <row r="52" spans="25:32" x14ac:dyDescent="0.2">
      <c r="Y52" s="511">
        <v>43657</v>
      </c>
      <c r="Z52" s="266" t="s">
        <v>266</v>
      </c>
      <c r="AA52" s="270" t="s">
        <v>167</v>
      </c>
      <c r="AB52" s="271">
        <v>5104</v>
      </c>
      <c r="AC52" s="272">
        <v>4.4000000000000004</v>
      </c>
      <c r="AD52" s="272">
        <f t="shared" si="12"/>
        <v>22457.600000000002</v>
      </c>
      <c r="AE52" s="272">
        <f t="shared" si="9"/>
        <v>4266.9440000000004</v>
      </c>
      <c r="AF52" s="367">
        <f t="shared" si="10"/>
        <v>26724.544000000002</v>
      </c>
    </row>
    <row r="53" spans="25:32" x14ac:dyDescent="0.2">
      <c r="Y53" s="511">
        <v>43659</v>
      </c>
      <c r="Z53" s="266" t="s">
        <v>266</v>
      </c>
      <c r="AA53" s="270" t="s">
        <v>167</v>
      </c>
      <c r="AB53" s="271">
        <v>6815</v>
      </c>
      <c r="AC53" s="272">
        <v>4.4000000000000004</v>
      </c>
      <c r="AD53" s="272">
        <f t="shared" si="12"/>
        <v>29986.000000000004</v>
      </c>
      <c r="AE53" s="272">
        <f t="shared" si="9"/>
        <v>5697.3400000000011</v>
      </c>
      <c r="AF53" s="367">
        <f t="shared" si="10"/>
        <v>35683.340000000004</v>
      </c>
    </row>
    <row r="54" spans="25:32" x14ac:dyDescent="0.2">
      <c r="Y54" s="511">
        <v>43663</v>
      </c>
      <c r="Z54" s="266" t="s">
        <v>266</v>
      </c>
      <c r="AA54" s="270" t="s">
        <v>167</v>
      </c>
      <c r="AB54" s="271">
        <v>6060</v>
      </c>
      <c r="AC54" s="272">
        <v>4.4000000000000004</v>
      </c>
      <c r="AD54" s="272">
        <f t="shared" si="12"/>
        <v>26664.000000000004</v>
      </c>
      <c r="AE54" s="272">
        <f t="shared" si="9"/>
        <v>5066.1600000000008</v>
      </c>
      <c r="AF54" s="367">
        <f t="shared" si="10"/>
        <v>31730.160000000003</v>
      </c>
    </row>
    <row r="55" spans="25:32" x14ac:dyDescent="0.2">
      <c r="Y55" s="511">
        <v>43676</v>
      </c>
      <c r="Z55" s="266" t="s">
        <v>266</v>
      </c>
      <c r="AA55" s="270" t="s">
        <v>167</v>
      </c>
      <c r="AB55" s="271">
        <v>5217</v>
      </c>
      <c r="AC55" s="272">
        <v>4.4000000000000004</v>
      </c>
      <c r="AD55" s="272">
        <f t="shared" si="12"/>
        <v>22954.800000000003</v>
      </c>
      <c r="AE55" s="272">
        <f t="shared" si="9"/>
        <v>4361.4120000000003</v>
      </c>
      <c r="AF55" s="367">
        <f t="shared" si="10"/>
        <v>27316.212000000003</v>
      </c>
    </row>
    <row r="56" spans="25:32" x14ac:dyDescent="0.2">
      <c r="Y56" s="511">
        <v>43677</v>
      </c>
      <c r="Z56" s="266" t="s">
        <v>266</v>
      </c>
      <c r="AA56" s="270" t="s">
        <v>167</v>
      </c>
      <c r="AB56" s="271">
        <v>4222</v>
      </c>
      <c r="AC56" s="272">
        <v>4.4000000000000004</v>
      </c>
      <c r="AD56" s="272">
        <f t="shared" si="12"/>
        <v>18576.800000000003</v>
      </c>
      <c r="AE56" s="272">
        <f t="shared" si="9"/>
        <v>3529.5920000000006</v>
      </c>
      <c r="AF56" s="367">
        <f t="shared" si="10"/>
        <v>22106.392000000003</v>
      </c>
    </row>
    <row r="57" spans="25:32" x14ac:dyDescent="0.2">
      <c r="Y57" s="511">
        <v>43680</v>
      </c>
      <c r="Z57" s="266" t="s">
        <v>266</v>
      </c>
      <c r="AA57" s="270" t="s">
        <v>167</v>
      </c>
      <c r="AB57" s="271">
        <v>4908</v>
      </c>
      <c r="AC57" s="272">
        <v>4.4000000000000004</v>
      </c>
      <c r="AD57" s="272">
        <f t="shared" si="12"/>
        <v>21595.200000000001</v>
      </c>
      <c r="AE57" s="272">
        <f t="shared" si="9"/>
        <v>4103.0879999999997</v>
      </c>
      <c r="AF57" s="367">
        <f t="shared" si="10"/>
        <v>25698.288</v>
      </c>
    </row>
    <row r="58" spans="25:32" x14ac:dyDescent="0.2">
      <c r="Y58" s="511">
        <v>43684</v>
      </c>
      <c r="Z58" s="266" t="s">
        <v>266</v>
      </c>
      <c r="AA58" s="270" t="s">
        <v>167</v>
      </c>
      <c r="AB58" s="271">
        <v>6300</v>
      </c>
      <c r="AC58" s="272">
        <v>4.4000000000000004</v>
      </c>
      <c r="AD58" s="272">
        <f t="shared" si="12"/>
        <v>27720.000000000004</v>
      </c>
      <c r="AE58" s="272">
        <f t="shared" si="9"/>
        <v>5266.8000000000011</v>
      </c>
      <c r="AF58" s="367">
        <f t="shared" si="10"/>
        <v>32986.800000000003</v>
      </c>
    </row>
    <row r="59" spans="25:32" x14ac:dyDescent="0.2">
      <c r="Y59" s="511">
        <v>43685</v>
      </c>
      <c r="Z59" s="266" t="s">
        <v>266</v>
      </c>
      <c r="AA59" s="270" t="s">
        <v>167</v>
      </c>
      <c r="AB59" s="271">
        <v>4649</v>
      </c>
      <c r="AC59" s="272">
        <v>4.4000000000000004</v>
      </c>
      <c r="AD59" s="272">
        <f t="shared" si="12"/>
        <v>20455.600000000002</v>
      </c>
      <c r="AE59" s="272">
        <f t="shared" si="9"/>
        <v>3886.5640000000003</v>
      </c>
      <c r="AF59" s="367">
        <f t="shared" si="10"/>
        <v>24342.164000000004</v>
      </c>
    </row>
    <row r="60" spans="25:32" x14ac:dyDescent="0.2">
      <c r="Y60" s="511">
        <v>43691</v>
      </c>
      <c r="Z60" s="266" t="s">
        <v>266</v>
      </c>
      <c r="AA60" s="270" t="s">
        <v>167</v>
      </c>
      <c r="AB60" s="271">
        <v>6597</v>
      </c>
      <c r="AC60" s="272">
        <v>4.4000000000000004</v>
      </c>
      <c r="AD60" s="272">
        <f t="shared" si="12"/>
        <v>29026.800000000003</v>
      </c>
      <c r="AE60" s="272">
        <f t="shared" si="9"/>
        <v>5515.0920000000006</v>
      </c>
      <c r="AF60" s="367">
        <f t="shared" si="10"/>
        <v>34541.892000000007</v>
      </c>
    </row>
    <row r="61" spans="25:32" x14ac:dyDescent="0.2">
      <c r="Y61" s="511">
        <v>43691</v>
      </c>
      <c r="Z61" s="266" t="s">
        <v>266</v>
      </c>
      <c r="AA61" s="270" t="s">
        <v>167</v>
      </c>
      <c r="AB61" s="271">
        <v>4265</v>
      </c>
      <c r="AC61" s="272">
        <v>4.4000000000000004</v>
      </c>
      <c r="AD61" s="272">
        <f t="shared" si="12"/>
        <v>18766</v>
      </c>
      <c r="AE61" s="272">
        <f t="shared" si="9"/>
        <v>3565.54</v>
      </c>
      <c r="AF61" s="367">
        <f t="shared" si="10"/>
        <v>22331.54</v>
      </c>
    </row>
    <row r="62" spans="25:32" x14ac:dyDescent="0.2">
      <c r="Y62" s="511">
        <v>43693</v>
      </c>
      <c r="Z62" s="266" t="s">
        <v>266</v>
      </c>
      <c r="AA62" s="270" t="s">
        <v>167</v>
      </c>
      <c r="AB62" s="271">
        <v>5532</v>
      </c>
      <c r="AC62" s="272">
        <v>4.4000000000000004</v>
      </c>
      <c r="AD62" s="272">
        <f t="shared" si="12"/>
        <v>24340.800000000003</v>
      </c>
      <c r="AE62" s="272">
        <f t="shared" si="9"/>
        <v>4624.7520000000004</v>
      </c>
      <c r="AF62" s="367">
        <f t="shared" si="10"/>
        <v>28965.552000000003</v>
      </c>
    </row>
    <row r="63" spans="25:32" x14ac:dyDescent="0.2">
      <c r="Y63" s="511">
        <v>43698</v>
      </c>
      <c r="Z63" s="266" t="s">
        <v>266</v>
      </c>
      <c r="AA63" s="270" t="s">
        <v>167</v>
      </c>
      <c r="AB63" s="271">
        <v>5295</v>
      </c>
      <c r="AC63" s="272">
        <v>4.4000000000000004</v>
      </c>
      <c r="AD63" s="272">
        <f t="shared" si="12"/>
        <v>23298.000000000004</v>
      </c>
      <c r="AE63" s="272">
        <f t="shared" si="9"/>
        <v>4426.6200000000008</v>
      </c>
      <c r="AF63" s="367">
        <f t="shared" si="10"/>
        <v>27724.620000000003</v>
      </c>
    </row>
    <row r="64" spans="25:32" x14ac:dyDescent="0.2">
      <c r="Y64" s="511">
        <v>43707</v>
      </c>
      <c r="Z64" s="266" t="s">
        <v>266</v>
      </c>
      <c r="AA64" s="270" t="s">
        <v>167</v>
      </c>
      <c r="AB64" s="271">
        <v>4459</v>
      </c>
      <c r="AC64" s="272">
        <v>4.4000000000000004</v>
      </c>
      <c r="AD64" s="272">
        <f t="shared" si="12"/>
        <v>19619.600000000002</v>
      </c>
      <c r="AE64" s="272">
        <f t="shared" si="9"/>
        <v>3727.7240000000006</v>
      </c>
      <c r="AF64" s="367">
        <f t="shared" si="10"/>
        <v>23347.324000000004</v>
      </c>
    </row>
    <row r="65" spans="25:32" x14ac:dyDescent="0.2">
      <c r="Y65" s="511">
        <v>43712</v>
      </c>
      <c r="Z65" s="266" t="s">
        <v>266</v>
      </c>
      <c r="AA65" s="270" t="s">
        <v>167</v>
      </c>
      <c r="AB65" s="271">
        <v>4271</v>
      </c>
      <c r="AC65" s="272">
        <v>4.4000000000000004</v>
      </c>
      <c r="AD65" s="272">
        <f t="shared" si="12"/>
        <v>18792.400000000001</v>
      </c>
      <c r="AE65" s="272">
        <f t="shared" si="9"/>
        <v>3570.5560000000005</v>
      </c>
      <c r="AF65" s="367">
        <f t="shared" si="10"/>
        <v>22362.956000000002</v>
      </c>
    </row>
    <row r="66" spans="25:32" x14ac:dyDescent="0.2">
      <c r="Y66" s="511">
        <v>43713</v>
      </c>
      <c r="Z66" s="266" t="s">
        <v>266</v>
      </c>
      <c r="AA66" s="270" t="s">
        <v>167</v>
      </c>
      <c r="AB66" s="271">
        <v>7079</v>
      </c>
      <c r="AC66" s="272">
        <v>4.4000000000000004</v>
      </c>
      <c r="AD66" s="272">
        <f t="shared" si="12"/>
        <v>31147.600000000002</v>
      </c>
      <c r="AE66" s="272">
        <f t="shared" si="9"/>
        <v>5918.0440000000008</v>
      </c>
      <c r="AF66" s="367">
        <f t="shared" si="10"/>
        <v>37065.644</v>
      </c>
    </row>
    <row r="67" spans="25:32" x14ac:dyDescent="0.2">
      <c r="Y67" s="511">
        <v>43718</v>
      </c>
      <c r="Z67" s="266" t="s">
        <v>266</v>
      </c>
      <c r="AA67" s="270" t="s">
        <v>167</v>
      </c>
      <c r="AB67" s="271">
        <v>5563</v>
      </c>
      <c r="AC67" s="272">
        <v>4.4000000000000004</v>
      </c>
      <c r="AD67" s="272">
        <f t="shared" si="12"/>
        <v>24477.200000000001</v>
      </c>
      <c r="AE67" s="272">
        <f t="shared" si="9"/>
        <v>4650.6680000000006</v>
      </c>
      <c r="AF67" s="367">
        <f t="shared" si="10"/>
        <v>29127.868000000002</v>
      </c>
    </row>
    <row r="68" spans="25:32" x14ac:dyDescent="0.2">
      <c r="Y68" s="511">
        <v>43738</v>
      </c>
      <c r="Z68" s="266" t="s">
        <v>266</v>
      </c>
      <c r="AA68" s="270" t="s">
        <v>167</v>
      </c>
      <c r="AB68" s="271">
        <v>4138</v>
      </c>
      <c r="AC68" s="272">
        <v>4.4000000000000004</v>
      </c>
      <c r="AD68" s="272">
        <f t="shared" si="12"/>
        <v>18207.2</v>
      </c>
      <c r="AE68" s="272">
        <f t="shared" si="9"/>
        <v>3459.3680000000004</v>
      </c>
      <c r="AF68" s="367">
        <f t="shared" si="10"/>
        <v>21666.567999999999</v>
      </c>
    </row>
    <row r="69" spans="25:32" x14ac:dyDescent="0.2">
      <c r="Y69" s="511">
        <v>43745</v>
      </c>
      <c r="Z69" s="266" t="s">
        <v>266</v>
      </c>
      <c r="AA69" s="270" t="s">
        <v>167</v>
      </c>
      <c r="AB69" s="271">
        <v>3251</v>
      </c>
      <c r="AC69" s="272">
        <v>4.4000000000000004</v>
      </c>
      <c r="AD69" s="272">
        <f t="shared" si="12"/>
        <v>14304.400000000001</v>
      </c>
      <c r="AE69" s="272">
        <f t="shared" si="9"/>
        <v>2717.8360000000002</v>
      </c>
      <c r="AF69" s="367">
        <f t="shared" si="10"/>
        <v>17022.236000000001</v>
      </c>
    </row>
    <row r="70" spans="25:32" x14ac:dyDescent="0.2">
      <c r="Y70" s="511">
        <v>43747</v>
      </c>
      <c r="Z70" s="266" t="s">
        <v>266</v>
      </c>
      <c r="AA70" s="270" t="s">
        <v>167</v>
      </c>
      <c r="AB70" s="271">
        <v>5282</v>
      </c>
      <c r="AC70" s="272">
        <v>4.4000000000000004</v>
      </c>
      <c r="AD70" s="272">
        <f t="shared" si="12"/>
        <v>23240.800000000003</v>
      </c>
      <c r="AE70" s="272">
        <f t="shared" si="9"/>
        <v>4415.7520000000004</v>
      </c>
      <c r="AF70" s="367">
        <f t="shared" si="10"/>
        <v>27656.552000000003</v>
      </c>
    </row>
    <row r="71" spans="25:32" x14ac:dyDescent="0.2">
      <c r="Y71" s="511">
        <v>43753</v>
      </c>
      <c r="Z71" s="266" t="s">
        <v>266</v>
      </c>
      <c r="AA71" s="270" t="s">
        <v>167</v>
      </c>
      <c r="AB71" s="271">
        <v>5477</v>
      </c>
      <c r="AC71" s="272">
        <v>4.4000000000000004</v>
      </c>
      <c r="AD71" s="272">
        <f t="shared" si="12"/>
        <v>24098.800000000003</v>
      </c>
      <c r="AE71" s="272">
        <f t="shared" si="9"/>
        <v>4578.7720000000008</v>
      </c>
      <c r="AF71" s="367">
        <f t="shared" si="10"/>
        <v>28677.572000000004</v>
      </c>
    </row>
    <row r="72" spans="25:32" x14ac:dyDescent="0.2">
      <c r="Y72" s="511">
        <v>43757</v>
      </c>
      <c r="Z72" s="266" t="s">
        <v>266</v>
      </c>
      <c r="AA72" s="270" t="s">
        <v>167</v>
      </c>
      <c r="AB72" s="271">
        <v>5280</v>
      </c>
      <c r="AC72" s="272">
        <v>4.4000000000000004</v>
      </c>
      <c r="AD72" s="272">
        <f t="shared" si="12"/>
        <v>23232.000000000004</v>
      </c>
      <c r="AE72" s="272">
        <f t="shared" si="9"/>
        <v>4414.0800000000008</v>
      </c>
      <c r="AF72" s="367">
        <f t="shared" si="10"/>
        <v>27646.080000000005</v>
      </c>
    </row>
    <row r="73" spans="25:32" x14ac:dyDescent="0.2">
      <c r="Y73" s="511">
        <v>43761</v>
      </c>
      <c r="Z73" s="266" t="s">
        <v>266</v>
      </c>
      <c r="AA73" s="270" t="s">
        <v>167</v>
      </c>
      <c r="AB73" s="271">
        <v>7091</v>
      </c>
      <c r="AC73" s="272">
        <v>4.4000000000000004</v>
      </c>
      <c r="AD73" s="272">
        <f t="shared" si="12"/>
        <v>31200.400000000001</v>
      </c>
      <c r="AE73" s="272">
        <f t="shared" si="9"/>
        <v>5928.076</v>
      </c>
      <c r="AF73" s="367">
        <f t="shared" si="10"/>
        <v>37128.476000000002</v>
      </c>
    </row>
    <row r="74" spans="25:32" x14ac:dyDescent="0.2">
      <c r="Y74" s="745">
        <v>43763</v>
      </c>
      <c r="Z74" s="15" t="s">
        <v>266</v>
      </c>
      <c r="AA74" s="15" t="s">
        <v>167</v>
      </c>
      <c r="AB74" s="271">
        <v>5243</v>
      </c>
      <c r="AC74" s="272">
        <v>4.4000000000000004</v>
      </c>
      <c r="AD74" s="272">
        <f t="shared" si="12"/>
        <v>23069.200000000001</v>
      </c>
      <c r="AE74" s="272">
        <f t="shared" si="9"/>
        <v>4383.1480000000001</v>
      </c>
      <c r="AF74" s="367">
        <f t="shared" si="10"/>
        <v>27452.348000000002</v>
      </c>
    </row>
    <row r="75" spans="25:32" x14ac:dyDescent="0.2">
      <c r="Y75" s="745">
        <v>43769</v>
      </c>
      <c r="Z75" s="15" t="s">
        <v>266</v>
      </c>
      <c r="AA75" s="15" t="s">
        <v>167</v>
      </c>
      <c r="AB75" s="271">
        <v>4830</v>
      </c>
      <c r="AC75" s="272">
        <v>4.4000000000000004</v>
      </c>
      <c r="AD75" s="272">
        <f t="shared" si="12"/>
        <v>21252</v>
      </c>
      <c r="AE75" s="272">
        <f t="shared" si="9"/>
        <v>4037.88</v>
      </c>
      <c r="AF75" s="367">
        <f t="shared" si="10"/>
        <v>25289.88</v>
      </c>
    </row>
    <row r="76" spans="25:32" x14ac:dyDescent="0.2">
      <c r="Y76" s="511">
        <v>43777</v>
      </c>
      <c r="Z76" s="266" t="s">
        <v>266</v>
      </c>
      <c r="AA76" s="270" t="s">
        <v>167</v>
      </c>
      <c r="AB76" s="271">
        <v>5079</v>
      </c>
      <c r="AC76" s="272">
        <v>4.5</v>
      </c>
      <c r="AD76" s="272">
        <f t="shared" si="12"/>
        <v>22855.5</v>
      </c>
      <c r="AE76" s="272">
        <f t="shared" si="9"/>
        <v>4342.5450000000001</v>
      </c>
      <c r="AF76" s="367">
        <f t="shared" si="10"/>
        <v>27198.044999999998</v>
      </c>
    </row>
    <row r="77" spans="25:32" x14ac:dyDescent="0.2">
      <c r="Y77" s="511">
        <v>43781</v>
      </c>
      <c r="Z77" s="266" t="s">
        <v>266</v>
      </c>
      <c r="AA77" s="270" t="s">
        <v>167</v>
      </c>
      <c r="AB77" s="271">
        <v>5386</v>
      </c>
      <c r="AC77" s="272">
        <v>4.5</v>
      </c>
      <c r="AD77" s="272">
        <f t="shared" si="12"/>
        <v>24237</v>
      </c>
      <c r="AE77" s="272">
        <f t="shared" si="9"/>
        <v>4605.03</v>
      </c>
      <c r="AF77" s="367">
        <f t="shared" si="10"/>
        <v>28842.03</v>
      </c>
    </row>
    <row r="78" spans="25:32" x14ac:dyDescent="0.2">
      <c r="Y78" s="511">
        <v>43782</v>
      </c>
      <c r="Z78" s="266" t="s">
        <v>266</v>
      </c>
      <c r="AA78" s="270" t="s">
        <v>167</v>
      </c>
      <c r="AB78" s="271">
        <v>2327</v>
      </c>
      <c r="AC78" s="272">
        <v>4.5</v>
      </c>
      <c r="AD78" s="272">
        <f t="shared" si="12"/>
        <v>10471.5</v>
      </c>
      <c r="AE78" s="272">
        <f t="shared" ref="AE78:AE86" si="13">+AD78*0.19</f>
        <v>1989.585</v>
      </c>
      <c r="AF78" s="367">
        <f t="shared" ref="AF78:AF86" si="14">+AD78+AE78</f>
        <v>12461.084999999999</v>
      </c>
    </row>
    <row r="79" spans="25:32" x14ac:dyDescent="0.2">
      <c r="Y79" s="511">
        <v>43790</v>
      </c>
      <c r="Z79" s="266" t="s">
        <v>266</v>
      </c>
      <c r="AA79" s="270" t="s">
        <v>167</v>
      </c>
      <c r="AB79" s="271">
        <v>3899</v>
      </c>
      <c r="AC79" s="272">
        <v>4.5</v>
      </c>
      <c r="AD79" s="272">
        <f t="shared" si="12"/>
        <v>17545.5</v>
      </c>
      <c r="AE79" s="272">
        <f t="shared" si="13"/>
        <v>3333.645</v>
      </c>
      <c r="AF79" s="367">
        <f t="shared" si="14"/>
        <v>20879.145</v>
      </c>
    </row>
    <row r="80" spans="25:32" x14ac:dyDescent="0.2">
      <c r="Y80" s="745">
        <v>43791</v>
      </c>
      <c r="Z80" s="15" t="s">
        <v>266</v>
      </c>
      <c r="AA80" s="15" t="s">
        <v>167</v>
      </c>
      <c r="AB80" s="271">
        <v>11751</v>
      </c>
      <c r="AC80" s="272">
        <v>4.5</v>
      </c>
      <c r="AD80" s="272">
        <f t="shared" si="12"/>
        <v>52879.5</v>
      </c>
      <c r="AE80" s="272">
        <f t="shared" si="13"/>
        <v>10047.105</v>
      </c>
      <c r="AF80" s="367">
        <f t="shared" si="14"/>
        <v>62926.604999999996</v>
      </c>
    </row>
    <row r="81" spans="25:32" x14ac:dyDescent="0.2">
      <c r="Y81" s="745">
        <v>43804</v>
      </c>
      <c r="Z81" s="15" t="s">
        <v>266</v>
      </c>
      <c r="AA81" s="15" t="s">
        <v>167</v>
      </c>
      <c r="AB81" s="271">
        <v>9721</v>
      </c>
      <c r="AC81" s="794">
        <v>4.5999999999999996</v>
      </c>
      <c r="AD81" s="272">
        <f t="shared" si="12"/>
        <v>44716.6</v>
      </c>
      <c r="AE81" s="272">
        <f t="shared" si="13"/>
        <v>8496.1540000000005</v>
      </c>
      <c r="AF81" s="367">
        <f t="shared" si="14"/>
        <v>53212.754000000001</v>
      </c>
    </row>
    <row r="82" spans="25:32" x14ac:dyDescent="0.2">
      <c r="Y82" s="745">
        <v>43805</v>
      </c>
      <c r="Z82" s="15" t="s">
        <v>266</v>
      </c>
      <c r="AA82" s="15" t="s">
        <v>167</v>
      </c>
      <c r="AB82" s="271">
        <v>5769</v>
      </c>
      <c r="AC82" s="794">
        <v>4.5999999999999996</v>
      </c>
      <c r="AD82" s="272">
        <f t="shared" si="12"/>
        <v>26537.399999999998</v>
      </c>
      <c r="AE82" s="272">
        <f t="shared" si="13"/>
        <v>5042.1059999999998</v>
      </c>
      <c r="AF82" s="367">
        <f t="shared" si="14"/>
        <v>31579.505999999998</v>
      </c>
    </row>
    <row r="83" spans="25:32" x14ac:dyDescent="0.2">
      <c r="Y83" s="745">
        <v>43808</v>
      </c>
      <c r="Z83" s="15" t="s">
        <v>266</v>
      </c>
      <c r="AA83" s="15" t="s">
        <v>167</v>
      </c>
      <c r="AB83" s="271">
        <v>4006</v>
      </c>
      <c r="AC83" s="794">
        <v>4.5999999999999996</v>
      </c>
      <c r="AD83" s="272">
        <f t="shared" si="12"/>
        <v>18427.599999999999</v>
      </c>
      <c r="AE83" s="272">
        <f t="shared" si="13"/>
        <v>3501.2439999999997</v>
      </c>
      <c r="AF83" s="367">
        <f t="shared" si="14"/>
        <v>21928.843999999997</v>
      </c>
    </row>
    <row r="84" spans="25:32" x14ac:dyDescent="0.2">
      <c r="Y84" s="745">
        <v>43816</v>
      </c>
      <c r="Z84" s="15" t="s">
        <v>266</v>
      </c>
      <c r="AA84" s="15" t="s">
        <v>167</v>
      </c>
      <c r="AB84" s="271">
        <v>4844</v>
      </c>
      <c r="AC84" s="794">
        <v>4.5999999999999996</v>
      </c>
      <c r="AD84" s="272">
        <f t="shared" si="12"/>
        <v>22282.399999999998</v>
      </c>
      <c r="AE84" s="272">
        <f t="shared" si="13"/>
        <v>4233.6559999999999</v>
      </c>
      <c r="AF84" s="367">
        <f t="shared" si="14"/>
        <v>26516.055999999997</v>
      </c>
    </row>
    <row r="85" spans="25:32" x14ac:dyDescent="0.2">
      <c r="Y85" s="745">
        <v>43819</v>
      </c>
      <c r="Z85" s="15" t="s">
        <v>266</v>
      </c>
      <c r="AA85" s="15" t="s">
        <v>167</v>
      </c>
      <c r="AB85" s="271">
        <v>11253</v>
      </c>
      <c r="AC85" s="794">
        <v>4.5999999999999996</v>
      </c>
      <c r="AD85" s="272">
        <f t="shared" si="12"/>
        <v>51763.799999999996</v>
      </c>
      <c r="AE85" s="272">
        <f t="shared" si="13"/>
        <v>9835.1219999999994</v>
      </c>
      <c r="AF85" s="367">
        <f t="shared" si="14"/>
        <v>61598.921999999991</v>
      </c>
    </row>
    <row r="86" spans="25:32" x14ac:dyDescent="0.2">
      <c r="Y86" s="745">
        <v>43823</v>
      </c>
      <c r="Z86" s="15" t="s">
        <v>266</v>
      </c>
      <c r="AA86" s="15" t="s">
        <v>167</v>
      </c>
      <c r="AB86" s="271">
        <v>4361</v>
      </c>
      <c r="AC86" s="794">
        <v>4.5999999999999996</v>
      </c>
      <c r="AD86" s="272">
        <f t="shared" si="12"/>
        <v>20060.599999999999</v>
      </c>
      <c r="AE86" s="272">
        <f t="shared" si="13"/>
        <v>3811.5139999999997</v>
      </c>
      <c r="AF86" s="367">
        <f t="shared" si="14"/>
        <v>23872.113999999998</v>
      </c>
    </row>
    <row r="87" spans="25:32" ht="13.5" thickBot="1" x14ac:dyDescent="0.25">
      <c r="Y87" s="512"/>
      <c r="Z87" s="361"/>
      <c r="AA87" s="361"/>
      <c r="AB87" s="371"/>
      <c r="AC87" s="361"/>
      <c r="AD87" s="361"/>
      <c r="AE87" s="361"/>
      <c r="AF87" s="747"/>
    </row>
    <row r="91" spans="25:32" x14ac:dyDescent="0.2">
      <c r="AB91" s="15">
        <f>39954*4.5</f>
        <v>179793</v>
      </c>
    </row>
    <row r="92" spans="25:32" x14ac:dyDescent="0.2">
      <c r="AB92" s="15">
        <f>+AB91/4.6</f>
        <v>39085.434782608696</v>
      </c>
    </row>
  </sheetData>
  <sortState xmlns:xlrd2="http://schemas.microsoft.com/office/spreadsheetml/2017/richdata2" ref="J48:P70">
    <sortCondition ref="K48:K70"/>
  </sortState>
  <mergeCells count="16">
    <mergeCell ref="A12:G12"/>
    <mergeCell ref="A11:G11"/>
    <mergeCell ref="A6:B6"/>
    <mergeCell ref="D6:E6"/>
    <mergeCell ref="A7:B7"/>
    <mergeCell ref="D7:E7"/>
    <mergeCell ref="A8:E8"/>
    <mergeCell ref="A9:G9"/>
    <mergeCell ref="A10:G10"/>
    <mergeCell ref="A5:B5"/>
    <mergeCell ref="D5:E5"/>
    <mergeCell ref="A1:H1"/>
    <mergeCell ref="A3:B3"/>
    <mergeCell ref="D3:E3"/>
    <mergeCell ref="A4:B4"/>
    <mergeCell ref="D4:E4"/>
  </mergeCells>
  <pageMargins left="0" right="0" top="0" bottom="0" header="0" footer="0"/>
  <pageSetup paperSize="9" orientation="landscape" horizontalDpi="180" verticalDpi="180" r:id="rId1"/>
  <ignoredErrors>
    <ignoredError sqref="H5" formula="1"/>
    <ignoredError sqref="D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85"/>
  <sheetViews>
    <sheetView topLeftCell="A34" zoomScaleNormal="100" workbookViewId="0">
      <selection activeCell="L33" sqref="L33"/>
    </sheetView>
  </sheetViews>
  <sheetFormatPr baseColWidth="10" defaultRowHeight="15" x14ac:dyDescent="0.25"/>
  <cols>
    <col min="1" max="1" width="10.140625" bestFit="1" customWidth="1"/>
    <col min="2" max="2" width="15.7109375" bestFit="1" customWidth="1"/>
    <col min="3" max="3" width="3.5703125" bestFit="1" customWidth="1"/>
    <col min="4" max="4" width="8.85546875" bestFit="1" customWidth="1"/>
    <col min="5" max="5" width="5.42578125" bestFit="1" customWidth="1"/>
    <col min="6" max="6" width="12.28515625" bestFit="1" customWidth="1"/>
    <col min="7" max="7" width="10.85546875" bestFit="1" customWidth="1"/>
    <col min="8" max="8" width="12.28515625" bestFit="1" customWidth="1"/>
    <col min="11" max="11" width="12.42578125" style="28" bestFit="1" customWidth="1"/>
    <col min="15" max="15" width="13.140625" bestFit="1" customWidth="1"/>
  </cols>
  <sheetData>
    <row r="1" spans="1:14" x14ac:dyDescent="0.25">
      <c r="A1" s="914" t="s">
        <v>683</v>
      </c>
      <c r="B1" s="914"/>
      <c r="C1" s="914"/>
      <c r="D1" s="914"/>
      <c r="E1" s="914"/>
      <c r="F1" s="914"/>
      <c r="G1" s="914"/>
      <c r="H1" s="914"/>
    </row>
    <row r="2" spans="1:14" ht="15.75" thickBot="1" x14ac:dyDescent="0.3">
      <c r="A2" s="250"/>
      <c r="B2" s="15"/>
      <c r="C2" s="263"/>
      <c r="D2" s="180"/>
      <c r="E2" s="187"/>
      <c r="F2" s="187"/>
      <c r="G2" s="187"/>
      <c r="H2" s="187"/>
    </row>
    <row r="3" spans="1:14" x14ac:dyDescent="0.25">
      <c r="A3" s="915" t="s">
        <v>243</v>
      </c>
      <c r="B3" s="916"/>
      <c r="C3" s="314" t="s">
        <v>167</v>
      </c>
      <c r="D3" s="917">
        <f>SUM(D14:D16)</f>
        <v>94720</v>
      </c>
      <c r="E3" s="918"/>
      <c r="F3" s="231">
        <f>SUM(F14:F16)</f>
        <v>80512</v>
      </c>
      <c r="G3" s="231">
        <f>SUM(G14:G16)</f>
        <v>15297.280000000002</v>
      </c>
      <c r="H3" s="315">
        <f>SUM(H14:H16)</f>
        <v>95811.08</v>
      </c>
    </row>
    <row r="4" spans="1:14" x14ac:dyDescent="0.25">
      <c r="A4" s="904" t="s">
        <v>244</v>
      </c>
      <c r="B4" s="905"/>
      <c r="C4" s="316" t="s">
        <v>167</v>
      </c>
      <c r="D4" s="906">
        <f>SUM(D17:D52)</f>
        <v>1091504</v>
      </c>
      <c r="E4" s="907"/>
      <c r="F4" s="189">
        <f>SUM(F17:F52)</f>
        <v>2141070.6</v>
      </c>
      <c r="G4" s="189">
        <f>SUM(G17:G52)</f>
        <v>406803.41400000005</v>
      </c>
      <c r="H4" s="317">
        <f>SUM(H17:H52)</f>
        <v>2547895.6140000005</v>
      </c>
    </row>
    <row r="5" spans="1:14" x14ac:dyDescent="0.25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f>+F5+G5</f>
        <v>0</v>
      </c>
    </row>
    <row r="6" spans="1:14" x14ac:dyDescent="0.25">
      <c r="A6" s="904" t="s">
        <v>1230</v>
      </c>
      <c r="B6" s="905"/>
      <c r="C6" s="316"/>
      <c r="D6" s="906">
        <v>0</v>
      </c>
      <c r="E6" s="907"/>
      <c r="F6" s="782">
        <f>SUM(F58:F61)</f>
        <v>202129</v>
      </c>
      <c r="G6" s="189">
        <f>SUM(G58:G61)</f>
        <v>38404.51</v>
      </c>
      <c r="H6" s="317">
        <f>SUM(H58:H61)</f>
        <v>240535.91</v>
      </c>
    </row>
    <row r="7" spans="1:14" x14ac:dyDescent="0.25">
      <c r="A7" s="904" t="s">
        <v>1231</v>
      </c>
      <c r="B7" s="905"/>
      <c r="C7" s="316"/>
      <c r="D7" s="906">
        <v>0</v>
      </c>
      <c r="E7" s="907"/>
      <c r="F7" s="782">
        <f>SUM(F62:F63)</f>
        <v>75269.95</v>
      </c>
      <c r="G7" s="189">
        <f>SUM(G62:G63)</f>
        <v>14301.290499999999</v>
      </c>
      <c r="H7" s="317">
        <f>SUM(H62:H63)</f>
        <v>89572.440499999997</v>
      </c>
    </row>
    <row r="8" spans="1:14" x14ac:dyDescent="0.25">
      <c r="A8" s="940" t="s">
        <v>262</v>
      </c>
      <c r="B8" s="941"/>
      <c r="C8" s="316" t="s">
        <v>167</v>
      </c>
      <c r="D8" s="906">
        <v>0</v>
      </c>
      <c r="E8" s="907"/>
      <c r="F8" s="189">
        <v>0</v>
      </c>
      <c r="G8" s="189">
        <v>0</v>
      </c>
      <c r="H8" s="317">
        <f>+F8+G8</f>
        <v>0</v>
      </c>
      <c r="N8" s="70"/>
    </row>
    <row r="9" spans="1:14" x14ac:dyDescent="0.25">
      <c r="A9" s="904" t="s">
        <v>246</v>
      </c>
      <c r="B9" s="905"/>
      <c r="C9" s="316" t="s">
        <v>167</v>
      </c>
      <c r="D9" s="906">
        <f>SUM(D53:D57)</f>
        <v>128899</v>
      </c>
      <c r="E9" s="907"/>
      <c r="F9" s="189">
        <f>SUM(F53:F57)</f>
        <v>592935.39999999991</v>
      </c>
      <c r="G9" s="189">
        <f>SUM(G53:G57)</f>
        <v>112657.726</v>
      </c>
      <c r="H9" s="317">
        <f>SUM(H53:H57)</f>
        <v>705596.12599999993</v>
      </c>
      <c r="N9" s="70"/>
    </row>
    <row r="10" spans="1:14" x14ac:dyDescent="0.25">
      <c r="A10" s="910" t="s">
        <v>76</v>
      </c>
      <c r="B10" s="911"/>
      <c r="C10" s="911"/>
      <c r="D10" s="911"/>
      <c r="E10" s="911"/>
      <c r="F10" s="318">
        <f>SUM(F3:F9)</f>
        <v>3091916.95</v>
      </c>
      <c r="G10" s="318">
        <f>SUM(G3:G9)</f>
        <v>587464.22050000005</v>
      </c>
      <c r="H10" s="319">
        <f>SUM(H3:H9)</f>
        <v>3679411.1705000009</v>
      </c>
    </row>
    <row r="11" spans="1:14" x14ac:dyDescent="0.25">
      <c r="A11" s="936" t="s">
        <v>247</v>
      </c>
      <c r="B11" s="937"/>
      <c r="C11" s="937"/>
      <c r="D11" s="937"/>
      <c r="E11" s="937"/>
      <c r="F11" s="937"/>
      <c r="G11" s="937"/>
      <c r="H11" s="319">
        <f>H14+H15+H16+H17+H18+H19+H20+H21+H22+H23+H24+H25+H26+H27+H28+H29+H30+H50+H58+H59+H60+H62</f>
        <v>1405966.8435000002</v>
      </c>
    </row>
    <row r="12" spans="1:14" ht="15.75" thickBot="1" x14ac:dyDescent="0.3">
      <c r="A12" s="938" t="s">
        <v>248</v>
      </c>
      <c r="B12" s="939"/>
      <c r="C12" s="939"/>
      <c r="D12" s="939"/>
      <c r="E12" s="939"/>
      <c r="F12" s="939"/>
      <c r="G12" s="939"/>
      <c r="H12" s="320">
        <f>+H10-H11</f>
        <v>2273444.3270000005</v>
      </c>
    </row>
    <row r="13" spans="1:14" ht="15.75" thickBot="1" x14ac:dyDescent="0.3">
      <c r="A13" s="250"/>
      <c r="B13" s="15"/>
      <c r="C13" s="263"/>
      <c r="D13" s="180"/>
      <c r="E13" s="187"/>
      <c r="F13" s="187"/>
      <c r="G13" s="187"/>
      <c r="H13" s="187"/>
    </row>
    <row r="14" spans="1:14" x14ac:dyDescent="0.25">
      <c r="A14" s="541">
        <v>43683</v>
      </c>
      <c r="B14" s="542" t="s">
        <v>597</v>
      </c>
      <c r="C14" s="543" t="s">
        <v>167</v>
      </c>
      <c r="D14" s="544">
        <v>28240</v>
      </c>
      <c r="E14" s="545">
        <v>0.85</v>
      </c>
      <c r="F14" s="545">
        <f t="shared" ref="F14:F57" si="0">+D14*E14</f>
        <v>24004</v>
      </c>
      <c r="G14" s="545">
        <f t="shared" ref="G14:G57" si="1">+F14*0.19</f>
        <v>4560.76</v>
      </c>
      <c r="H14" s="546">
        <f t="shared" ref="H14:H57" si="2">+F14+G14+0.6</f>
        <v>28565.360000000001</v>
      </c>
      <c r="K14"/>
    </row>
    <row r="15" spans="1:14" x14ac:dyDescent="0.25">
      <c r="A15" s="547">
        <v>43704</v>
      </c>
      <c r="B15" s="548" t="s">
        <v>597</v>
      </c>
      <c r="C15" s="549" t="s">
        <v>167</v>
      </c>
      <c r="D15" s="550">
        <v>36360</v>
      </c>
      <c r="E15" s="551">
        <v>0.85</v>
      </c>
      <c r="F15" s="551">
        <f t="shared" si="0"/>
        <v>30906</v>
      </c>
      <c r="G15" s="551">
        <f t="shared" si="1"/>
        <v>5872.14</v>
      </c>
      <c r="H15" s="552">
        <f t="shared" si="2"/>
        <v>36778.74</v>
      </c>
      <c r="J15" s="28"/>
      <c r="K15"/>
    </row>
    <row r="16" spans="1:14" s="71" customFormat="1" x14ac:dyDescent="0.25">
      <c r="A16" s="547">
        <v>43708</v>
      </c>
      <c r="B16" s="548" t="s">
        <v>597</v>
      </c>
      <c r="C16" s="549" t="s">
        <v>167</v>
      </c>
      <c r="D16" s="550">
        <v>30120</v>
      </c>
      <c r="E16" s="551">
        <v>0.85</v>
      </c>
      <c r="F16" s="551">
        <f t="shared" si="0"/>
        <v>25602</v>
      </c>
      <c r="G16" s="551">
        <f t="shared" si="1"/>
        <v>4864.38</v>
      </c>
      <c r="H16" s="552">
        <f t="shared" si="2"/>
        <v>30466.98</v>
      </c>
      <c r="K16"/>
      <c r="M16"/>
    </row>
    <row r="17" spans="1:11" s="71" customFormat="1" x14ac:dyDescent="0.25">
      <c r="A17" s="547">
        <v>43532</v>
      </c>
      <c r="B17" s="548" t="s">
        <v>638</v>
      </c>
      <c r="C17" s="549" t="s">
        <v>167</v>
      </c>
      <c r="D17" s="550">
        <v>25354</v>
      </c>
      <c r="E17" s="551">
        <v>1.9</v>
      </c>
      <c r="F17" s="551">
        <f t="shared" si="0"/>
        <v>48172.6</v>
      </c>
      <c r="G17" s="551">
        <f t="shared" si="1"/>
        <v>9152.7939999999999</v>
      </c>
      <c r="H17" s="552">
        <f t="shared" si="2"/>
        <v>57325.993999999999</v>
      </c>
      <c r="K17" s="530"/>
    </row>
    <row r="18" spans="1:11" s="71" customFormat="1" x14ac:dyDescent="0.25">
      <c r="A18" s="547">
        <v>43535</v>
      </c>
      <c r="B18" s="548" t="s">
        <v>638</v>
      </c>
      <c r="C18" s="549" t="s">
        <v>167</v>
      </c>
      <c r="D18" s="550">
        <v>42080</v>
      </c>
      <c r="E18" s="551">
        <v>1.9</v>
      </c>
      <c r="F18" s="551">
        <f t="shared" si="0"/>
        <v>79952</v>
      </c>
      <c r="G18" s="551">
        <f t="shared" si="1"/>
        <v>15190.880000000001</v>
      </c>
      <c r="H18" s="552">
        <f t="shared" si="2"/>
        <v>95143.48000000001</v>
      </c>
      <c r="K18" s="530"/>
    </row>
    <row r="19" spans="1:11" s="71" customFormat="1" x14ac:dyDescent="0.25">
      <c r="A19" s="547">
        <v>43536</v>
      </c>
      <c r="B19" s="548" t="s">
        <v>638</v>
      </c>
      <c r="C19" s="549" t="s">
        <v>167</v>
      </c>
      <c r="D19" s="550">
        <v>42140</v>
      </c>
      <c r="E19" s="551">
        <v>1.9</v>
      </c>
      <c r="F19" s="551">
        <f t="shared" si="0"/>
        <v>80066</v>
      </c>
      <c r="G19" s="551">
        <f t="shared" si="1"/>
        <v>15212.54</v>
      </c>
      <c r="H19" s="552">
        <f t="shared" si="2"/>
        <v>95279.140000000014</v>
      </c>
      <c r="K19" s="530"/>
    </row>
    <row r="20" spans="1:11" s="71" customFormat="1" x14ac:dyDescent="0.25">
      <c r="A20" s="547">
        <v>43539</v>
      </c>
      <c r="B20" s="548" t="s">
        <v>638</v>
      </c>
      <c r="C20" s="549" t="s">
        <v>167</v>
      </c>
      <c r="D20" s="550">
        <v>33560</v>
      </c>
      <c r="E20" s="551">
        <v>1.9</v>
      </c>
      <c r="F20" s="551">
        <f t="shared" si="0"/>
        <v>63764</v>
      </c>
      <c r="G20" s="551">
        <f t="shared" si="1"/>
        <v>12115.16</v>
      </c>
      <c r="H20" s="552">
        <f t="shared" si="2"/>
        <v>75879.760000000009</v>
      </c>
      <c r="K20" s="530"/>
    </row>
    <row r="21" spans="1:11" s="71" customFormat="1" x14ac:dyDescent="0.25">
      <c r="A21" s="547">
        <v>43552</v>
      </c>
      <c r="B21" s="548" t="s">
        <v>638</v>
      </c>
      <c r="C21" s="549" t="s">
        <v>167</v>
      </c>
      <c r="D21" s="550">
        <v>34720</v>
      </c>
      <c r="E21" s="551">
        <v>1.9</v>
      </c>
      <c r="F21" s="551">
        <f t="shared" si="0"/>
        <v>65968</v>
      </c>
      <c r="G21" s="551">
        <f t="shared" si="1"/>
        <v>12533.92</v>
      </c>
      <c r="H21" s="552">
        <f t="shared" si="2"/>
        <v>78502.52</v>
      </c>
      <c r="K21" s="530"/>
    </row>
    <row r="22" spans="1:11" s="71" customFormat="1" x14ac:dyDescent="0.25">
      <c r="A22" s="547">
        <v>43564</v>
      </c>
      <c r="B22" s="548" t="s">
        <v>638</v>
      </c>
      <c r="C22" s="549" t="s">
        <v>167</v>
      </c>
      <c r="D22" s="550">
        <v>35360</v>
      </c>
      <c r="E22" s="551">
        <v>1.9</v>
      </c>
      <c r="F22" s="551">
        <f t="shared" si="0"/>
        <v>67184</v>
      </c>
      <c r="G22" s="551">
        <f t="shared" si="1"/>
        <v>12764.960000000001</v>
      </c>
      <c r="H22" s="552">
        <f t="shared" si="2"/>
        <v>79949.560000000012</v>
      </c>
      <c r="K22" s="530"/>
    </row>
    <row r="23" spans="1:11" s="71" customFormat="1" x14ac:dyDescent="0.25">
      <c r="A23" s="547">
        <v>43567</v>
      </c>
      <c r="B23" s="548" t="s">
        <v>638</v>
      </c>
      <c r="C23" s="549" t="s">
        <v>167</v>
      </c>
      <c r="D23" s="550">
        <v>31360</v>
      </c>
      <c r="E23" s="551">
        <v>1.9</v>
      </c>
      <c r="F23" s="551">
        <f t="shared" si="0"/>
        <v>59584</v>
      </c>
      <c r="G23" s="551">
        <f t="shared" si="1"/>
        <v>11320.960000000001</v>
      </c>
      <c r="H23" s="552">
        <f t="shared" si="2"/>
        <v>70905.560000000012</v>
      </c>
      <c r="K23" s="530"/>
    </row>
    <row r="24" spans="1:11" s="71" customFormat="1" x14ac:dyDescent="0.25">
      <c r="A24" s="547">
        <v>43574</v>
      </c>
      <c r="B24" s="548" t="s">
        <v>638</v>
      </c>
      <c r="C24" s="549" t="s">
        <v>167</v>
      </c>
      <c r="D24" s="550">
        <v>31680</v>
      </c>
      <c r="E24" s="551">
        <v>1.9</v>
      </c>
      <c r="F24" s="551">
        <f t="shared" si="0"/>
        <v>60192</v>
      </c>
      <c r="G24" s="551">
        <f t="shared" si="1"/>
        <v>11436.48</v>
      </c>
      <c r="H24" s="552">
        <f t="shared" si="2"/>
        <v>71629.08</v>
      </c>
      <c r="K24" s="530"/>
    </row>
    <row r="25" spans="1:11" s="71" customFormat="1" x14ac:dyDescent="0.25">
      <c r="A25" s="547">
        <v>43592</v>
      </c>
      <c r="B25" s="548" t="s">
        <v>638</v>
      </c>
      <c r="C25" s="549" t="s">
        <v>167</v>
      </c>
      <c r="D25" s="550">
        <v>27400</v>
      </c>
      <c r="E25" s="551">
        <v>1.9</v>
      </c>
      <c r="F25" s="551">
        <f t="shared" si="0"/>
        <v>52060</v>
      </c>
      <c r="G25" s="551">
        <f t="shared" si="1"/>
        <v>9891.4</v>
      </c>
      <c r="H25" s="552">
        <f t="shared" si="2"/>
        <v>61952</v>
      </c>
      <c r="K25" s="530"/>
    </row>
    <row r="26" spans="1:11" s="71" customFormat="1" x14ac:dyDescent="0.25">
      <c r="A26" s="547">
        <v>43598</v>
      </c>
      <c r="B26" s="548" t="s">
        <v>638</v>
      </c>
      <c r="C26" s="549" t="s">
        <v>167</v>
      </c>
      <c r="D26" s="550">
        <v>26560</v>
      </c>
      <c r="E26" s="551">
        <v>1.9</v>
      </c>
      <c r="F26" s="551">
        <f t="shared" si="0"/>
        <v>50464</v>
      </c>
      <c r="G26" s="551">
        <f t="shared" si="1"/>
        <v>9588.16</v>
      </c>
      <c r="H26" s="552">
        <f t="shared" si="2"/>
        <v>60052.76</v>
      </c>
      <c r="K26" s="530"/>
    </row>
    <row r="27" spans="1:11" s="71" customFormat="1" x14ac:dyDescent="0.25">
      <c r="A27" s="547">
        <v>43602</v>
      </c>
      <c r="B27" s="548" t="s">
        <v>638</v>
      </c>
      <c r="C27" s="549" t="s">
        <v>167</v>
      </c>
      <c r="D27" s="550">
        <v>29800</v>
      </c>
      <c r="E27" s="551">
        <v>1.9</v>
      </c>
      <c r="F27" s="551">
        <f t="shared" si="0"/>
        <v>56620</v>
      </c>
      <c r="G27" s="551">
        <f t="shared" si="1"/>
        <v>10757.8</v>
      </c>
      <c r="H27" s="552">
        <f t="shared" si="2"/>
        <v>67378.400000000009</v>
      </c>
      <c r="K27" s="530"/>
    </row>
    <row r="28" spans="1:11" s="71" customFormat="1" x14ac:dyDescent="0.25">
      <c r="A28" s="547">
        <v>43610</v>
      </c>
      <c r="B28" s="548" t="s">
        <v>638</v>
      </c>
      <c r="C28" s="549" t="s">
        <v>167</v>
      </c>
      <c r="D28" s="550">
        <v>32400</v>
      </c>
      <c r="E28" s="551">
        <v>1.9</v>
      </c>
      <c r="F28" s="551">
        <f t="shared" si="0"/>
        <v>61560</v>
      </c>
      <c r="G28" s="551">
        <f t="shared" si="1"/>
        <v>11696.4</v>
      </c>
      <c r="H28" s="552">
        <f t="shared" si="2"/>
        <v>73257</v>
      </c>
      <c r="K28" s="530"/>
    </row>
    <row r="29" spans="1:11" s="71" customFormat="1" x14ac:dyDescent="0.25">
      <c r="A29" s="547">
        <v>43676</v>
      </c>
      <c r="B29" s="548" t="s">
        <v>638</v>
      </c>
      <c r="C29" s="549" t="s">
        <v>167</v>
      </c>
      <c r="D29" s="550">
        <v>32360</v>
      </c>
      <c r="E29" s="551">
        <v>1.9</v>
      </c>
      <c r="F29" s="551">
        <f t="shared" si="0"/>
        <v>61484</v>
      </c>
      <c r="G29" s="551">
        <f t="shared" si="1"/>
        <v>11681.960000000001</v>
      </c>
      <c r="H29" s="552">
        <f t="shared" si="2"/>
        <v>73166.560000000012</v>
      </c>
      <c r="K29" s="530"/>
    </row>
    <row r="30" spans="1:11" s="71" customFormat="1" x14ac:dyDescent="0.25">
      <c r="A30" s="547">
        <v>43679</v>
      </c>
      <c r="B30" s="548" t="s">
        <v>638</v>
      </c>
      <c r="C30" s="549" t="s">
        <v>167</v>
      </c>
      <c r="D30" s="550">
        <v>31860</v>
      </c>
      <c r="E30" s="551">
        <v>2.1</v>
      </c>
      <c r="F30" s="551">
        <f t="shared" si="0"/>
        <v>66906</v>
      </c>
      <c r="G30" s="551">
        <f t="shared" si="1"/>
        <v>12712.14</v>
      </c>
      <c r="H30" s="552">
        <f t="shared" si="2"/>
        <v>79618.740000000005</v>
      </c>
      <c r="K30" s="530"/>
    </row>
    <row r="31" spans="1:11" s="71" customFormat="1" x14ac:dyDescent="0.25">
      <c r="A31" s="366">
        <v>43711</v>
      </c>
      <c r="B31" s="266" t="s">
        <v>638</v>
      </c>
      <c r="C31" s="270" t="s">
        <v>167</v>
      </c>
      <c r="D31" s="271">
        <v>27740</v>
      </c>
      <c r="E31" s="272">
        <v>2.1</v>
      </c>
      <c r="F31" s="272">
        <f t="shared" si="0"/>
        <v>58254</v>
      </c>
      <c r="G31" s="272">
        <f t="shared" si="1"/>
        <v>11068.26</v>
      </c>
      <c r="H31" s="367">
        <f t="shared" si="2"/>
        <v>69322.86</v>
      </c>
      <c r="K31" s="530"/>
    </row>
    <row r="32" spans="1:11" s="71" customFormat="1" x14ac:dyDescent="0.25">
      <c r="A32" s="366">
        <v>43733</v>
      </c>
      <c r="B32" s="266" t="s">
        <v>638</v>
      </c>
      <c r="C32" s="270" t="s">
        <v>167</v>
      </c>
      <c r="D32" s="271">
        <v>31220</v>
      </c>
      <c r="E32" s="272">
        <v>2.1</v>
      </c>
      <c r="F32" s="272">
        <f t="shared" si="0"/>
        <v>65562</v>
      </c>
      <c r="G32" s="272">
        <f t="shared" si="1"/>
        <v>12456.78</v>
      </c>
      <c r="H32" s="367">
        <f t="shared" si="2"/>
        <v>78019.38</v>
      </c>
      <c r="K32" s="530"/>
    </row>
    <row r="33" spans="1:15" s="71" customFormat="1" x14ac:dyDescent="0.25">
      <c r="A33" s="366">
        <v>43734</v>
      </c>
      <c r="B33" s="266" t="s">
        <v>638</v>
      </c>
      <c r="C33" s="270" t="s">
        <v>167</v>
      </c>
      <c r="D33" s="271">
        <v>29940</v>
      </c>
      <c r="E33" s="272">
        <v>2.1</v>
      </c>
      <c r="F33" s="272">
        <f t="shared" si="0"/>
        <v>62874</v>
      </c>
      <c r="G33" s="272">
        <f t="shared" si="1"/>
        <v>11946.06</v>
      </c>
      <c r="H33" s="367">
        <f t="shared" si="2"/>
        <v>74820.66</v>
      </c>
      <c r="K33" s="530"/>
    </row>
    <row r="34" spans="1:15" s="71" customFormat="1" x14ac:dyDescent="0.25">
      <c r="A34" s="366">
        <v>43739</v>
      </c>
      <c r="B34" s="266" t="s">
        <v>638</v>
      </c>
      <c r="C34" s="270" t="s">
        <v>167</v>
      </c>
      <c r="D34" s="271">
        <v>33300</v>
      </c>
      <c r="E34" s="272">
        <v>2</v>
      </c>
      <c r="F34" s="272">
        <f t="shared" si="0"/>
        <v>66600</v>
      </c>
      <c r="G34" s="272">
        <f t="shared" si="1"/>
        <v>12654</v>
      </c>
      <c r="H34" s="367">
        <f t="shared" si="2"/>
        <v>79254.600000000006</v>
      </c>
      <c r="K34" s="530"/>
    </row>
    <row r="35" spans="1:15" s="71" customFormat="1" x14ac:dyDescent="0.25">
      <c r="A35" s="366">
        <v>43740</v>
      </c>
      <c r="B35" s="266" t="s">
        <v>638</v>
      </c>
      <c r="C35" s="270" t="s">
        <v>167</v>
      </c>
      <c r="D35" s="271">
        <v>21800</v>
      </c>
      <c r="E35" s="272">
        <v>2</v>
      </c>
      <c r="F35" s="272">
        <f t="shared" si="0"/>
        <v>43600</v>
      </c>
      <c r="G35" s="272">
        <f t="shared" si="1"/>
        <v>8284</v>
      </c>
      <c r="H35" s="367">
        <f t="shared" si="2"/>
        <v>51884.6</v>
      </c>
      <c r="K35" s="530"/>
    </row>
    <row r="36" spans="1:15" s="71" customFormat="1" x14ac:dyDescent="0.25">
      <c r="A36" s="366">
        <v>43746</v>
      </c>
      <c r="B36" s="266" t="s">
        <v>638</v>
      </c>
      <c r="C36" s="270" t="s">
        <v>167</v>
      </c>
      <c r="D36" s="271">
        <v>27720</v>
      </c>
      <c r="E36" s="272">
        <v>2</v>
      </c>
      <c r="F36" s="272">
        <f t="shared" si="0"/>
        <v>55440</v>
      </c>
      <c r="G36" s="272">
        <f t="shared" si="1"/>
        <v>10533.6</v>
      </c>
      <c r="H36" s="367">
        <f t="shared" si="2"/>
        <v>65974.200000000012</v>
      </c>
      <c r="K36" s="530"/>
    </row>
    <row r="37" spans="1:15" s="71" customFormat="1" x14ac:dyDescent="0.25">
      <c r="A37" s="366">
        <v>43748</v>
      </c>
      <c r="B37" s="266" t="s">
        <v>638</v>
      </c>
      <c r="C37" s="270" t="s">
        <v>167</v>
      </c>
      <c r="D37" s="271">
        <v>31250</v>
      </c>
      <c r="E37" s="272">
        <v>2</v>
      </c>
      <c r="F37" s="272">
        <f t="shared" si="0"/>
        <v>62500</v>
      </c>
      <c r="G37" s="272">
        <f t="shared" si="1"/>
        <v>11875</v>
      </c>
      <c r="H37" s="367">
        <f t="shared" si="2"/>
        <v>74375.600000000006</v>
      </c>
      <c r="K37" s="530"/>
    </row>
    <row r="38" spans="1:15" s="71" customFormat="1" x14ac:dyDescent="0.25">
      <c r="A38" s="366">
        <v>43749</v>
      </c>
      <c r="B38" s="266" t="s">
        <v>638</v>
      </c>
      <c r="C38" s="270" t="s">
        <v>167</v>
      </c>
      <c r="D38" s="271">
        <v>29020</v>
      </c>
      <c r="E38" s="272">
        <v>2</v>
      </c>
      <c r="F38" s="272">
        <f t="shared" si="0"/>
        <v>58040</v>
      </c>
      <c r="G38" s="272">
        <f t="shared" si="1"/>
        <v>11027.6</v>
      </c>
      <c r="H38" s="367">
        <f t="shared" si="2"/>
        <v>69068.200000000012</v>
      </c>
      <c r="K38" s="530"/>
    </row>
    <row r="39" spans="1:15" s="71" customFormat="1" x14ac:dyDescent="0.25">
      <c r="A39" s="366">
        <v>43754</v>
      </c>
      <c r="B39" s="266" t="s">
        <v>638</v>
      </c>
      <c r="C39" s="270" t="s">
        <v>167</v>
      </c>
      <c r="D39" s="271">
        <v>35800</v>
      </c>
      <c r="E39" s="272">
        <v>2</v>
      </c>
      <c r="F39" s="272">
        <f t="shared" si="0"/>
        <v>71600</v>
      </c>
      <c r="G39" s="272">
        <f t="shared" si="1"/>
        <v>13604</v>
      </c>
      <c r="H39" s="367">
        <f t="shared" si="2"/>
        <v>85204.6</v>
      </c>
      <c r="K39" s="530"/>
    </row>
    <row r="40" spans="1:15" s="71" customFormat="1" x14ac:dyDescent="0.25">
      <c r="A40" s="366">
        <v>43759</v>
      </c>
      <c r="B40" s="266" t="s">
        <v>638</v>
      </c>
      <c r="C40" s="270" t="s">
        <v>167</v>
      </c>
      <c r="D40" s="271">
        <v>29080</v>
      </c>
      <c r="E40" s="272">
        <v>1.9</v>
      </c>
      <c r="F40" s="272">
        <f t="shared" si="0"/>
        <v>55252</v>
      </c>
      <c r="G40" s="272">
        <f t="shared" si="1"/>
        <v>10497.880000000001</v>
      </c>
      <c r="H40" s="367">
        <f t="shared" si="2"/>
        <v>65750.48000000001</v>
      </c>
      <c r="K40" s="530"/>
      <c r="O40" s="530"/>
    </row>
    <row r="41" spans="1:15" s="71" customFormat="1" x14ac:dyDescent="0.25">
      <c r="A41" s="366">
        <v>43761</v>
      </c>
      <c r="B41" s="266" t="s">
        <v>638</v>
      </c>
      <c r="C41" s="270" t="s">
        <v>167</v>
      </c>
      <c r="D41" s="271">
        <v>29820</v>
      </c>
      <c r="E41" s="272">
        <v>1.9</v>
      </c>
      <c r="F41" s="272">
        <f t="shared" si="0"/>
        <v>56658</v>
      </c>
      <c r="G41" s="272">
        <f t="shared" si="1"/>
        <v>10765.02</v>
      </c>
      <c r="H41" s="367">
        <f t="shared" si="2"/>
        <v>67423.62000000001</v>
      </c>
      <c r="K41" s="530"/>
      <c r="O41" s="530"/>
    </row>
    <row r="42" spans="1:15" s="71" customFormat="1" x14ac:dyDescent="0.25">
      <c r="A42" s="366">
        <v>43766</v>
      </c>
      <c r="B42" s="266" t="s">
        <v>638</v>
      </c>
      <c r="C42" s="270" t="s">
        <v>167</v>
      </c>
      <c r="D42" s="271">
        <v>31580</v>
      </c>
      <c r="E42" s="272">
        <v>1.9</v>
      </c>
      <c r="F42" s="272">
        <f t="shared" si="0"/>
        <v>60002</v>
      </c>
      <c r="G42" s="272">
        <f t="shared" si="1"/>
        <v>11400.380000000001</v>
      </c>
      <c r="H42" s="367">
        <f t="shared" si="2"/>
        <v>71402.98000000001</v>
      </c>
      <c r="K42" s="530"/>
      <c r="O42" s="530"/>
    </row>
    <row r="43" spans="1:15" s="71" customFormat="1" x14ac:dyDescent="0.25">
      <c r="A43" s="366">
        <v>43769</v>
      </c>
      <c r="B43" s="266" t="s">
        <v>638</v>
      </c>
      <c r="C43" s="270" t="s">
        <v>167</v>
      </c>
      <c r="D43" s="271">
        <v>24880</v>
      </c>
      <c r="E43" s="272">
        <v>1.9</v>
      </c>
      <c r="F43" s="272">
        <f t="shared" si="0"/>
        <v>47272</v>
      </c>
      <c r="G43" s="272">
        <f t="shared" si="1"/>
        <v>8981.68</v>
      </c>
      <c r="H43" s="367">
        <f t="shared" si="2"/>
        <v>56254.28</v>
      </c>
      <c r="K43" s="530"/>
      <c r="O43" s="530"/>
    </row>
    <row r="44" spans="1:15" s="71" customFormat="1" x14ac:dyDescent="0.25">
      <c r="A44" s="366">
        <v>43773</v>
      </c>
      <c r="B44" s="266" t="s">
        <v>638</v>
      </c>
      <c r="C44" s="270" t="s">
        <v>167</v>
      </c>
      <c r="D44" s="271">
        <v>26820</v>
      </c>
      <c r="E44" s="272">
        <v>2</v>
      </c>
      <c r="F44" s="272">
        <f t="shared" si="0"/>
        <v>53640</v>
      </c>
      <c r="G44" s="272">
        <f t="shared" si="1"/>
        <v>10191.6</v>
      </c>
      <c r="H44" s="367">
        <f t="shared" si="2"/>
        <v>63832.2</v>
      </c>
      <c r="K44" s="530"/>
      <c r="O44" s="530"/>
    </row>
    <row r="45" spans="1:15" s="71" customFormat="1" x14ac:dyDescent="0.25">
      <c r="A45" s="366">
        <v>43774</v>
      </c>
      <c r="B45" s="266" t="s">
        <v>638</v>
      </c>
      <c r="C45" s="270" t="s">
        <v>167</v>
      </c>
      <c r="D45" s="271">
        <v>23980</v>
      </c>
      <c r="E45" s="272">
        <v>2</v>
      </c>
      <c r="F45" s="272">
        <f t="shared" si="0"/>
        <v>47960</v>
      </c>
      <c r="G45" s="272">
        <f t="shared" si="1"/>
        <v>9112.4</v>
      </c>
      <c r="H45" s="367">
        <f t="shared" si="2"/>
        <v>57073</v>
      </c>
      <c r="K45" s="530"/>
    </row>
    <row r="46" spans="1:15" s="71" customFormat="1" x14ac:dyDescent="0.25">
      <c r="A46" s="366">
        <v>43776</v>
      </c>
      <c r="B46" s="266" t="s">
        <v>638</v>
      </c>
      <c r="C46" s="270" t="s">
        <v>167</v>
      </c>
      <c r="D46" s="271">
        <v>29820</v>
      </c>
      <c r="E46" s="272">
        <v>2</v>
      </c>
      <c r="F46" s="272">
        <f t="shared" si="0"/>
        <v>59640</v>
      </c>
      <c r="G46" s="272">
        <f t="shared" si="1"/>
        <v>11331.6</v>
      </c>
      <c r="H46" s="367">
        <f t="shared" si="2"/>
        <v>70972.200000000012</v>
      </c>
      <c r="K46" s="530"/>
    </row>
    <row r="47" spans="1:15" s="71" customFormat="1" x14ac:dyDescent="0.25">
      <c r="A47" s="366">
        <v>43782</v>
      </c>
      <c r="B47" s="266" t="s">
        <v>638</v>
      </c>
      <c r="C47" s="270" t="s">
        <v>167</v>
      </c>
      <c r="D47" s="271">
        <v>25560</v>
      </c>
      <c r="E47" s="272">
        <v>2</v>
      </c>
      <c r="F47" s="272">
        <f t="shared" si="0"/>
        <v>51120</v>
      </c>
      <c r="G47" s="272">
        <f t="shared" si="1"/>
        <v>9712.7999999999993</v>
      </c>
      <c r="H47" s="367">
        <f t="shared" si="2"/>
        <v>60833.4</v>
      </c>
      <c r="K47" s="530"/>
    </row>
    <row r="48" spans="1:15" s="71" customFormat="1" x14ac:dyDescent="0.25">
      <c r="A48" s="366">
        <v>43784</v>
      </c>
      <c r="B48" s="266" t="s">
        <v>638</v>
      </c>
      <c r="C48" s="270" t="s">
        <v>167</v>
      </c>
      <c r="D48" s="271">
        <v>29680</v>
      </c>
      <c r="E48" s="272">
        <v>2</v>
      </c>
      <c r="F48" s="272">
        <f t="shared" si="0"/>
        <v>59360</v>
      </c>
      <c r="G48" s="272">
        <f t="shared" si="1"/>
        <v>11278.4</v>
      </c>
      <c r="H48" s="367">
        <f t="shared" si="2"/>
        <v>70639</v>
      </c>
      <c r="K48" s="530"/>
    </row>
    <row r="49" spans="1:11" s="71" customFormat="1" x14ac:dyDescent="0.25">
      <c r="A49" s="366">
        <v>43787</v>
      </c>
      <c r="B49" s="266" t="s">
        <v>638</v>
      </c>
      <c r="C49" s="270" t="s">
        <v>167</v>
      </c>
      <c r="D49" s="271">
        <v>38480</v>
      </c>
      <c r="E49" s="272">
        <v>2</v>
      </c>
      <c r="F49" s="272">
        <f t="shared" si="0"/>
        <v>76960</v>
      </c>
      <c r="G49" s="272">
        <f t="shared" si="1"/>
        <v>14622.4</v>
      </c>
      <c r="H49" s="367">
        <f t="shared" si="2"/>
        <v>91583</v>
      </c>
      <c r="K49" s="530"/>
    </row>
    <row r="50" spans="1:11" s="71" customFormat="1" x14ac:dyDescent="0.25">
      <c r="A50" s="547">
        <v>43790</v>
      </c>
      <c r="B50" s="548" t="s">
        <v>638</v>
      </c>
      <c r="C50" s="549" t="s">
        <v>167</v>
      </c>
      <c r="D50" s="550">
        <v>22620</v>
      </c>
      <c r="E50" s="551">
        <v>2</v>
      </c>
      <c r="F50" s="551">
        <f t="shared" si="0"/>
        <v>45240</v>
      </c>
      <c r="G50" s="551">
        <f t="shared" si="1"/>
        <v>8595.6</v>
      </c>
      <c r="H50" s="552">
        <f t="shared" si="2"/>
        <v>53836.2</v>
      </c>
      <c r="K50" s="530"/>
    </row>
    <row r="51" spans="1:11" s="71" customFormat="1" x14ac:dyDescent="0.25">
      <c r="A51" s="366">
        <v>43796</v>
      </c>
      <c r="B51" s="266" t="s">
        <v>638</v>
      </c>
      <c r="C51" s="270" t="s">
        <v>167</v>
      </c>
      <c r="D51" s="271">
        <v>23400</v>
      </c>
      <c r="E51" s="272">
        <v>2</v>
      </c>
      <c r="F51" s="272">
        <f t="shared" si="0"/>
        <v>46800</v>
      </c>
      <c r="G51" s="272">
        <f t="shared" si="1"/>
        <v>8892</v>
      </c>
      <c r="H51" s="367">
        <f t="shared" si="2"/>
        <v>55692.6</v>
      </c>
      <c r="K51" s="530"/>
    </row>
    <row r="52" spans="1:11" s="71" customFormat="1" x14ac:dyDescent="0.25">
      <c r="A52" s="366">
        <v>43798</v>
      </c>
      <c r="B52" s="266" t="s">
        <v>638</v>
      </c>
      <c r="C52" s="270" t="s">
        <v>167</v>
      </c>
      <c r="D52" s="271">
        <v>31360</v>
      </c>
      <c r="E52" s="272">
        <v>2</v>
      </c>
      <c r="F52" s="272">
        <f t="shared" si="0"/>
        <v>62720</v>
      </c>
      <c r="G52" s="272">
        <f t="shared" si="1"/>
        <v>11916.8</v>
      </c>
      <c r="H52" s="367">
        <f t="shared" si="2"/>
        <v>74637.400000000009</v>
      </c>
      <c r="K52" s="530"/>
    </row>
    <row r="53" spans="1:11" s="71" customFormat="1" x14ac:dyDescent="0.25">
      <c r="A53" s="366">
        <v>43753</v>
      </c>
      <c r="B53" s="266" t="s">
        <v>266</v>
      </c>
      <c r="C53" s="270" t="s">
        <v>167</v>
      </c>
      <c r="D53" s="271">
        <v>30177</v>
      </c>
      <c r="E53" s="272">
        <v>4.5999999999999996</v>
      </c>
      <c r="F53" s="272">
        <f t="shared" si="0"/>
        <v>138814.19999999998</v>
      </c>
      <c r="G53" s="272">
        <f t="shared" si="1"/>
        <v>26374.697999999997</v>
      </c>
      <c r="H53" s="367">
        <f t="shared" si="2"/>
        <v>165189.49799999999</v>
      </c>
      <c r="K53" s="530"/>
    </row>
    <row r="54" spans="1:11" s="71" customFormat="1" x14ac:dyDescent="0.25">
      <c r="A54" s="366">
        <v>43761</v>
      </c>
      <c r="B54" s="266" t="s">
        <v>266</v>
      </c>
      <c r="C54" s="270" t="s">
        <v>167</v>
      </c>
      <c r="D54" s="271">
        <v>34527</v>
      </c>
      <c r="E54" s="272">
        <v>4.5999999999999996</v>
      </c>
      <c r="F54" s="272">
        <f t="shared" si="0"/>
        <v>158824.19999999998</v>
      </c>
      <c r="G54" s="272">
        <f t="shared" si="1"/>
        <v>30176.597999999998</v>
      </c>
      <c r="H54" s="367">
        <f t="shared" si="2"/>
        <v>189001.39799999999</v>
      </c>
      <c r="K54" s="530"/>
    </row>
    <row r="55" spans="1:11" s="71" customFormat="1" x14ac:dyDescent="0.25">
      <c r="A55" s="366">
        <v>43769</v>
      </c>
      <c r="B55" s="266" t="s">
        <v>266</v>
      </c>
      <c r="C55" s="270" t="s">
        <v>167</v>
      </c>
      <c r="D55" s="271">
        <v>31615</v>
      </c>
      <c r="E55" s="272">
        <v>4.5999999999999996</v>
      </c>
      <c r="F55" s="272">
        <f t="shared" si="0"/>
        <v>145429</v>
      </c>
      <c r="G55" s="272">
        <f t="shared" si="1"/>
        <v>27631.510000000002</v>
      </c>
      <c r="H55" s="367">
        <f t="shared" si="2"/>
        <v>173061.11000000002</v>
      </c>
      <c r="K55" s="530"/>
    </row>
    <row r="56" spans="1:11" s="71" customFormat="1" x14ac:dyDescent="0.25">
      <c r="A56" s="366">
        <v>43773</v>
      </c>
      <c r="B56" s="266" t="s">
        <v>266</v>
      </c>
      <c r="C56" s="270" t="s">
        <v>167</v>
      </c>
      <c r="D56" s="271">
        <v>17560</v>
      </c>
      <c r="E56" s="272">
        <v>4.5999999999999996</v>
      </c>
      <c r="F56" s="272">
        <f t="shared" si="0"/>
        <v>80776</v>
      </c>
      <c r="G56" s="272">
        <f t="shared" si="1"/>
        <v>15347.44</v>
      </c>
      <c r="H56" s="367">
        <f t="shared" si="2"/>
        <v>96124.040000000008</v>
      </c>
      <c r="K56" s="530"/>
    </row>
    <row r="57" spans="1:11" s="71" customFormat="1" x14ac:dyDescent="0.25">
      <c r="A57" s="556">
        <v>43815</v>
      </c>
      <c r="B57" s="450" t="s">
        <v>266</v>
      </c>
      <c r="C57" s="557" t="s">
        <v>167</v>
      </c>
      <c r="D57" s="558">
        <v>15020</v>
      </c>
      <c r="E57" s="559">
        <v>4.5999999999999996</v>
      </c>
      <c r="F57" s="559">
        <f t="shared" si="0"/>
        <v>69092</v>
      </c>
      <c r="G57" s="559">
        <f t="shared" si="1"/>
        <v>13127.48</v>
      </c>
      <c r="H57" s="560">
        <f t="shared" si="2"/>
        <v>82220.08</v>
      </c>
      <c r="K57" s="530"/>
    </row>
    <row r="58" spans="1:11" s="71" customFormat="1" x14ac:dyDescent="0.25">
      <c r="A58" s="547">
        <v>43496</v>
      </c>
      <c r="B58" s="943" t="s">
        <v>1324</v>
      </c>
      <c r="C58" s="943"/>
      <c r="D58" s="943"/>
      <c r="E58" s="943"/>
      <c r="F58" s="551">
        <v>21079</v>
      </c>
      <c r="G58" s="551">
        <f>+F58*0.19</f>
        <v>4005.01</v>
      </c>
      <c r="H58" s="552">
        <f>+G58+F58+0.6</f>
        <v>25084.61</v>
      </c>
      <c r="K58" s="530"/>
    </row>
    <row r="59" spans="1:11" s="71" customFormat="1" x14ac:dyDescent="0.25">
      <c r="A59" s="547">
        <v>43521</v>
      </c>
      <c r="B59" s="943" t="s">
        <v>1324</v>
      </c>
      <c r="C59" s="943"/>
      <c r="D59" s="943"/>
      <c r="E59" s="943"/>
      <c r="F59" s="551">
        <v>18360.5</v>
      </c>
      <c r="G59" s="551">
        <f t="shared" ref="G59:G63" si="3">+F59*0.19</f>
        <v>3488.4949999999999</v>
      </c>
      <c r="H59" s="552">
        <f t="shared" ref="H59:H63" si="4">+G59+F59+0.6</f>
        <v>21849.594999999998</v>
      </c>
      <c r="K59" s="530"/>
    </row>
    <row r="60" spans="1:11" s="71" customFormat="1" x14ac:dyDescent="0.25">
      <c r="A60" s="547">
        <v>43708</v>
      </c>
      <c r="B60" s="943" t="s">
        <v>1324</v>
      </c>
      <c r="C60" s="943"/>
      <c r="D60" s="943"/>
      <c r="E60" s="943"/>
      <c r="F60" s="551">
        <v>110189.5</v>
      </c>
      <c r="G60" s="551">
        <f t="shared" si="3"/>
        <v>20936.005000000001</v>
      </c>
      <c r="H60" s="552">
        <f t="shared" si="4"/>
        <v>131126.10500000001</v>
      </c>
      <c r="K60" s="530"/>
    </row>
    <row r="61" spans="1:11" s="71" customFormat="1" x14ac:dyDescent="0.25">
      <c r="A61" s="366">
        <v>43777</v>
      </c>
      <c r="B61" s="942" t="s">
        <v>1324</v>
      </c>
      <c r="C61" s="942"/>
      <c r="D61" s="942"/>
      <c r="E61" s="942"/>
      <c r="F61" s="272">
        <v>52500</v>
      </c>
      <c r="G61" s="272">
        <f t="shared" si="3"/>
        <v>9975</v>
      </c>
      <c r="H61" s="367">
        <f t="shared" si="4"/>
        <v>62475.6</v>
      </c>
      <c r="K61" s="530"/>
    </row>
    <row r="62" spans="1:11" s="71" customFormat="1" x14ac:dyDescent="0.25">
      <c r="A62" s="547">
        <v>43708</v>
      </c>
      <c r="B62" s="943" t="s">
        <v>1325</v>
      </c>
      <c r="C62" s="943"/>
      <c r="D62" s="943"/>
      <c r="E62" s="943"/>
      <c r="F62" s="551">
        <v>32116.05</v>
      </c>
      <c r="G62" s="551">
        <f t="shared" si="3"/>
        <v>6102.0495000000001</v>
      </c>
      <c r="H62" s="552">
        <f t="shared" si="4"/>
        <v>38218.699499999995</v>
      </c>
      <c r="K62" s="530"/>
    </row>
    <row r="63" spans="1:11" s="71" customFormat="1" x14ac:dyDescent="0.25">
      <c r="A63" s="366">
        <v>43769</v>
      </c>
      <c r="B63" s="942" t="s">
        <v>1325</v>
      </c>
      <c r="C63" s="942"/>
      <c r="D63" s="942"/>
      <c r="E63" s="942"/>
      <c r="F63" s="272">
        <v>43153.9</v>
      </c>
      <c r="G63" s="272">
        <f t="shared" si="3"/>
        <v>8199.241</v>
      </c>
      <c r="H63" s="367">
        <f t="shared" si="4"/>
        <v>51353.741000000002</v>
      </c>
      <c r="K63" s="530"/>
    </row>
    <row r="64" spans="1:11" s="71" customFormat="1" x14ac:dyDescent="0.25">
      <c r="A64" s="366"/>
      <c r="B64" s="266"/>
      <c r="C64" s="270"/>
      <c r="D64" s="271"/>
      <c r="E64" s="272"/>
      <c r="F64" s="272"/>
      <c r="G64" s="272"/>
      <c r="H64" s="367"/>
      <c r="K64" s="530"/>
    </row>
    <row r="65" spans="1:11" s="71" customFormat="1" x14ac:dyDescent="0.25">
      <c r="A65" s="366"/>
      <c r="B65" s="266"/>
      <c r="C65" s="270"/>
      <c r="D65" s="271"/>
      <c r="E65" s="272"/>
      <c r="F65" s="272"/>
      <c r="G65" s="272"/>
      <c r="H65" s="367"/>
      <c r="K65" s="530"/>
    </row>
    <row r="66" spans="1:11" s="71" customFormat="1" x14ac:dyDescent="0.25">
      <c r="A66" s="366"/>
      <c r="B66" s="266"/>
      <c r="C66" s="270"/>
      <c r="D66" s="271"/>
      <c r="E66" s="272"/>
      <c r="F66" s="272"/>
      <c r="G66" s="272"/>
      <c r="H66" s="367"/>
      <c r="K66" s="530"/>
    </row>
    <row r="67" spans="1:11" s="71" customFormat="1" x14ac:dyDescent="0.25">
      <c r="A67" s="366"/>
      <c r="B67" s="266"/>
      <c r="C67" s="270"/>
      <c r="D67" s="271"/>
      <c r="E67" s="272"/>
      <c r="F67" s="272"/>
      <c r="G67" s="272"/>
      <c r="H67" s="367"/>
      <c r="K67" s="530"/>
    </row>
    <row r="68" spans="1:11" s="71" customFormat="1" x14ac:dyDescent="0.25">
      <c r="A68" s="366"/>
      <c r="B68" s="266"/>
      <c r="C68" s="270"/>
      <c r="D68" s="271"/>
      <c r="E68" s="272"/>
      <c r="F68" s="272"/>
      <c r="G68" s="272"/>
      <c r="H68" s="367"/>
      <c r="K68" s="530"/>
    </row>
    <row r="69" spans="1:11" s="71" customFormat="1" x14ac:dyDescent="0.25">
      <c r="A69" s="366"/>
      <c r="B69" s="266"/>
      <c r="C69" s="270"/>
      <c r="D69" s="271"/>
      <c r="E69" s="272"/>
      <c r="F69" s="272"/>
      <c r="G69" s="272"/>
      <c r="H69" s="367"/>
      <c r="K69" s="530"/>
    </row>
    <row r="70" spans="1:11" s="71" customFormat="1" x14ac:dyDescent="0.25">
      <c r="A70" s="366"/>
      <c r="B70" s="266"/>
      <c r="C70" s="270"/>
      <c r="D70" s="271"/>
      <c r="E70" s="272"/>
      <c r="F70" s="272"/>
      <c r="G70" s="272"/>
      <c r="H70" s="367"/>
      <c r="K70" s="530"/>
    </row>
    <row r="71" spans="1:11" s="71" customFormat="1" x14ac:dyDescent="0.25">
      <c r="A71" s="366"/>
      <c r="B71" s="266"/>
      <c r="C71" s="270"/>
      <c r="D71" s="271"/>
      <c r="E71" s="272"/>
      <c r="F71" s="272"/>
      <c r="G71" s="272"/>
      <c r="H71" s="367"/>
      <c r="K71" s="530"/>
    </row>
    <row r="72" spans="1:11" s="71" customFormat="1" x14ac:dyDescent="0.25">
      <c r="A72" s="366"/>
      <c r="B72" s="266"/>
      <c r="C72" s="270"/>
      <c r="D72" s="271"/>
      <c r="E72" s="272"/>
      <c r="F72" s="272"/>
      <c r="G72" s="272"/>
      <c r="H72" s="367"/>
      <c r="K72" s="530"/>
    </row>
    <row r="73" spans="1:11" s="71" customFormat="1" x14ac:dyDescent="0.25">
      <c r="A73" s="366"/>
      <c r="B73" s="266"/>
      <c r="C73" s="270"/>
      <c r="D73" s="271"/>
      <c r="E73" s="272"/>
      <c r="F73" s="272"/>
      <c r="G73" s="272"/>
      <c r="H73" s="367"/>
      <c r="K73" s="530"/>
    </row>
    <row r="74" spans="1:11" s="71" customFormat="1" x14ac:dyDescent="0.25">
      <c r="A74" s="366"/>
      <c r="B74" s="266"/>
      <c r="C74" s="270"/>
      <c r="D74" s="271"/>
      <c r="E74" s="272"/>
      <c r="F74" s="272"/>
      <c r="G74" s="272"/>
      <c r="H74" s="367"/>
      <c r="K74" s="530"/>
    </row>
    <row r="75" spans="1:11" s="71" customFormat="1" x14ac:dyDescent="0.25">
      <c r="A75" s="366"/>
      <c r="B75" s="266"/>
      <c r="C75" s="270"/>
      <c r="D75" s="271"/>
      <c r="E75" s="272"/>
      <c r="F75" s="272"/>
      <c r="G75" s="272"/>
      <c r="H75" s="367"/>
      <c r="K75" s="530"/>
    </row>
    <row r="76" spans="1:11" s="71" customFormat="1" x14ac:dyDescent="0.25">
      <c r="A76" s="366"/>
      <c r="B76" s="266"/>
      <c r="C76" s="270"/>
      <c r="D76" s="271"/>
      <c r="E76" s="272"/>
      <c r="F76" s="272"/>
      <c r="G76" s="272"/>
      <c r="H76" s="367"/>
      <c r="K76" s="530"/>
    </row>
    <row r="77" spans="1:11" s="71" customFormat="1" x14ac:dyDescent="0.25">
      <c r="A77" s="366"/>
      <c r="B77" s="266"/>
      <c r="C77" s="270"/>
      <c r="D77" s="271"/>
      <c r="E77" s="272"/>
      <c r="F77" s="272"/>
      <c r="G77" s="272"/>
      <c r="H77" s="367"/>
      <c r="K77" s="530"/>
    </row>
    <row r="78" spans="1:11" s="71" customFormat="1" x14ac:dyDescent="0.25">
      <c r="A78" s="366"/>
      <c r="B78" s="266"/>
      <c r="C78" s="270"/>
      <c r="D78" s="271"/>
      <c r="E78" s="272"/>
      <c r="F78" s="272"/>
      <c r="G78" s="272"/>
      <c r="H78" s="367"/>
      <c r="K78" s="530"/>
    </row>
    <row r="79" spans="1:11" s="71" customFormat="1" x14ac:dyDescent="0.25">
      <c r="A79" s="366"/>
      <c r="B79" s="266"/>
      <c r="C79" s="270"/>
      <c r="D79" s="271"/>
      <c r="E79" s="272"/>
      <c r="F79" s="272"/>
      <c r="G79" s="272"/>
      <c r="H79" s="367"/>
      <c r="K79" s="530"/>
    </row>
    <row r="80" spans="1:11" s="71" customFormat="1" x14ac:dyDescent="0.25">
      <c r="A80" s="366"/>
      <c r="B80" s="266"/>
      <c r="C80" s="270"/>
      <c r="D80" s="271"/>
      <c r="E80" s="272"/>
      <c r="F80" s="272"/>
      <c r="G80" s="272"/>
      <c r="H80" s="367"/>
      <c r="K80" s="530"/>
    </row>
    <row r="81" spans="1:11" s="71" customFormat="1" x14ac:dyDescent="0.25">
      <c r="A81" s="366"/>
      <c r="B81" s="266"/>
      <c r="C81" s="270"/>
      <c r="D81" s="271"/>
      <c r="E81" s="272"/>
      <c r="F81" s="272"/>
      <c r="G81" s="272"/>
      <c r="H81" s="367"/>
      <c r="K81" s="530"/>
    </row>
    <row r="82" spans="1:11" s="71" customFormat="1" x14ac:dyDescent="0.25">
      <c r="A82" s="366"/>
      <c r="B82" s="266"/>
      <c r="C82" s="270"/>
      <c r="D82" s="271"/>
      <c r="E82" s="272"/>
      <c r="F82" s="272"/>
      <c r="G82" s="272"/>
      <c r="H82" s="367"/>
      <c r="K82" s="530"/>
    </row>
    <row r="83" spans="1:11" s="71" customFormat="1" x14ac:dyDescent="0.25">
      <c r="A83" s="366"/>
      <c r="B83" s="266"/>
      <c r="C83" s="270"/>
      <c r="D83" s="271"/>
      <c r="E83" s="272"/>
      <c r="F83" s="272"/>
      <c r="G83" s="272"/>
      <c r="H83" s="367"/>
      <c r="K83" s="530"/>
    </row>
    <row r="84" spans="1:11" ht="15.75" thickBot="1" x14ac:dyDescent="0.3">
      <c r="A84" s="368"/>
      <c r="B84" s="369"/>
      <c r="C84" s="370"/>
      <c r="D84" s="371"/>
      <c r="E84" s="372"/>
      <c r="F84" s="372"/>
      <c r="G84" s="372"/>
      <c r="H84" s="373"/>
    </row>
    <row r="85" spans="1:11" ht="15.75" thickBot="1" x14ac:dyDescent="0.3">
      <c r="A85" s="15"/>
      <c r="B85" s="15"/>
      <c r="C85" s="15"/>
      <c r="D85" s="15"/>
      <c r="E85" s="15"/>
      <c r="F85" s="15"/>
      <c r="G85" s="15"/>
      <c r="H85" s="435">
        <f>SUM(H14:H84)</f>
        <v>3679411.1705000014</v>
      </c>
    </row>
  </sheetData>
  <sortState xmlns:xlrd2="http://schemas.microsoft.com/office/spreadsheetml/2017/richdata2" ref="A14:H55">
    <sortCondition ref="B14:B55"/>
  </sortState>
  <mergeCells count="24">
    <mergeCell ref="B63:E63"/>
    <mergeCell ref="B58:E58"/>
    <mergeCell ref="B59:E59"/>
    <mergeCell ref="B60:E60"/>
    <mergeCell ref="B61:E61"/>
    <mergeCell ref="B62:E62"/>
    <mergeCell ref="A5:B5"/>
    <mergeCell ref="D5:E5"/>
    <mergeCell ref="A1:H1"/>
    <mergeCell ref="A3:B3"/>
    <mergeCell ref="D3:E3"/>
    <mergeCell ref="A4:B4"/>
    <mergeCell ref="D4:E4"/>
    <mergeCell ref="A12:G12"/>
    <mergeCell ref="A8:B8"/>
    <mergeCell ref="D8:E8"/>
    <mergeCell ref="A9:B9"/>
    <mergeCell ref="D9:E9"/>
    <mergeCell ref="A10:E10"/>
    <mergeCell ref="D6:E6"/>
    <mergeCell ref="D7:E7"/>
    <mergeCell ref="A6:B6"/>
    <mergeCell ref="A7:B7"/>
    <mergeCell ref="A11:G11"/>
  </mergeCells>
  <pageMargins left="0.7" right="0.38" top="0.75" bottom="0.75" header="0.3" footer="0.3"/>
  <pageSetup paperSize="9" orientation="portrait" horizontalDpi="180" verticalDpi="180" r:id="rId1"/>
  <ignoredErrors>
    <ignoredError sqref="D3:F3 F7:F8 F5:F6 E9 E4 D5:E5 D8:E8 D4 D9 D6:E7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5"/>
  <sheetViews>
    <sheetView workbookViewId="0">
      <selection activeCell="L33" sqref="L33"/>
    </sheetView>
  </sheetViews>
  <sheetFormatPr baseColWidth="10" defaultRowHeight="15" x14ac:dyDescent="0.25"/>
  <cols>
    <col min="1" max="1" width="8.42578125" bestFit="1" customWidth="1"/>
    <col min="2" max="2" width="11.140625" bestFit="1" customWidth="1"/>
    <col min="3" max="3" width="3.42578125" bestFit="1" customWidth="1"/>
    <col min="4" max="4" width="7.85546875" bestFit="1" customWidth="1"/>
    <col min="5" max="5" width="4.85546875" bestFit="1" customWidth="1"/>
    <col min="6" max="8" width="10.85546875" bestFit="1" customWidth="1"/>
    <col min="9" max="9" width="3.42578125" customWidth="1"/>
    <col min="10" max="10" width="11" bestFit="1" customWidth="1"/>
    <col min="11" max="11" width="10.28515625" bestFit="1" customWidth="1"/>
    <col min="13" max="13" width="10.7109375" bestFit="1" customWidth="1"/>
    <col min="14" max="14" width="9" bestFit="1" customWidth="1"/>
    <col min="15" max="15" width="21.85546875" bestFit="1" customWidth="1"/>
    <col min="16" max="16" width="6.5703125" bestFit="1" customWidth="1"/>
  </cols>
  <sheetData>
    <row r="1" spans="1:16" ht="15.75" thickBot="1" x14ac:dyDescent="0.3">
      <c r="A1" s="914" t="s">
        <v>839</v>
      </c>
      <c r="B1" s="914"/>
      <c r="C1" s="914"/>
      <c r="D1" s="914"/>
      <c r="E1" s="914"/>
      <c r="F1" s="914"/>
      <c r="G1" s="914"/>
      <c r="H1" s="914"/>
    </row>
    <row r="2" spans="1:16" ht="15.75" thickBot="1" x14ac:dyDescent="0.3">
      <c r="A2" s="250"/>
      <c r="B2" s="15"/>
      <c r="C2" s="263"/>
      <c r="D2" s="180"/>
      <c r="E2" s="187"/>
      <c r="F2" s="187"/>
      <c r="G2" s="187"/>
      <c r="H2" s="187"/>
      <c r="M2" s="944" t="s">
        <v>921</v>
      </c>
      <c r="N2" s="945"/>
      <c r="O2" s="945"/>
      <c r="P2" s="946"/>
    </row>
    <row r="3" spans="1:16" ht="15.75" thickBot="1" x14ac:dyDescent="0.3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f>+F3+G3</f>
        <v>0</v>
      </c>
      <c r="M3" s="696">
        <v>43634</v>
      </c>
      <c r="N3" s="697" t="s">
        <v>914</v>
      </c>
      <c r="O3" s="698" t="s">
        <v>915</v>
      </c>
      <c r="P3" s="699">
        <v>33820</v>
      </c>
    </row>
    <row r="4" spans="1:16" ht="15.75" thickBot="1" x14ac:dyDescent="0.3">
      <c r="A4" s="904" t="s">
        <v>244</v>
      </c>
      <c r="B4" s="905"/>
      <c r="C4" s="316" t="s">
        <v>167</v>
      </c>
      <c r="D4" s="906">
        <f>SUM(D12:D24)</f>
        <v>308260</v>
      </c>
      <c r="E4" s="907"/>
      <c r="F4" s="189">
        <f>SUM(F12:F24)</f>
        <v>585694</v>
      </c>
      <c r="G4" s="189">
        <f>SUM(G12:G24)</f>
        <v>111281.85999999999</v>
      </c>
      <c r="H4" s="317">
        <f>+F4+G4</f>
        <v>696975.86</v>
      </c>
      <c r="M4" s="700">
        <v>43637</v>
      </c>
      <c r="N4" s="701" t="s">
        <v>914</v>
      </c>
      <c r="O4" s="702" t="s">
        <v>915</v>
      </c>
      <c r="P4" s="703">
        <v>39620</v>
      </c>
    </row>
    <row r="5" spans="1:16" ht="15.75" thickBot="1" x14ac:dyDescent="0.3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f>+F5+G5</f>
        <v>0</v>
      </c>
      <c r="M5" s="700">
        <v>43641</v>
      </c>
      <c r="N5" s="701" t="s">
        <v>914</v>
      </c>
      <c r="O5" s="702" t="s">
        <v>915</v>
      </c>
      <c r="P5" s="703">
        <v>23260</v>
      </c>
    </row>
    <row r="6" spans="1:16" ht="15.75" thickBot="1" x14ac:dyDescent="0.3">
      <c r="A6" s="940" t="s">
        <v>262</v>
      </c>
      <c r="B6" s="941"/>
      <c r="C6" s="316" t="s">
        <v>167</v>
      </c>
      <c r="D6" s="906">
        <v>0</v>
      </c>
      <c r="E6" s="907"/>
      <c r="F6" s="189">
        <v>0</v>
      </c>
      <c r="G6" s="189">
        <v>0</v>
      </c>
      <c r="H6" s="317">
        <f>+F6+G6</f>
        <v>0</v>
      </c>
      <c r="M6" s="700">
        <v>43644</v>
      </c>
      <c r="N6" s="701" t="s">
        <v>914</v>
      </c>
      <c r="O6" s="702" t="s">
        <v>915</v>
      </c>
      <c r="P6" s="703">
        <v>31680</v>
      </c>
    </row>
    <row r="7" spans="1:16" ht="15.75" thickBot="1" x14ac:dyDescent="0.3">
      <c r="A7" s="904" t="s">
        <v>246</v>
      </c>
      <c r="B7" s="905"/>
      <c r="C7" s="316" t="s">
        <v>167</v>
      </c>
      <c r="D7" s="906">
        <v>0</v>
      </c>
      <c r="E7" s="907"/>
      <c r="F7" s="189">
        <v>0</v>
      </c>
      <c r="G7" s="189">
        <v>0</v>
      </c>
      <c r="H7" s="317">
        <f>+F7+G7</f>
        <v>0</v>
      </c>
      <c r="M7" s="700">
        <v>43649</v>
      </c>
      <c r="N7" s="701" t="s">
        <v>914</v>
      </c>
      <c r="O7" s="702" t="s">
        <v>915</v>
      </c>
      <c r="P7" s="703">
        <v>25140</v>
      </c>
    </row>
    <row r="8" spans="1:16" ht="15.75" thickBot="1" x14ac:dyDescent="0.3">
      <c r="A8" s="910" t="s">
        <v>76</v>
      </c>
      <c r="B8" s="911"/>
      <c r="C8" s="911"/>
      <c r="D8" s="911"/>
      <c r="E8" s="911"/>
      <c r="F8" s="318">
        <f>SUM(F3:F7)</f>
        <v>585694</v>
      </c>
      <c r="G8" s="318">
        <f>SUM(G3:G7)</f>
        <v>111281.85999999999</v>
      </c>
      <c r="H8" s="319">
        <f>SUM(H3:H7)</f>
        <v>696975.86</v>
      </c>
      <c r="M8" s="700">
        <v>43652</v>
      </c>
      <c r="N8" s="701" t="s">
        <v>914</v>
      </c>
      <c r="O8" s="702" t="s">
        <v>915</v>
      </c>
      <c r="P8" s="703">
        <v>30540</v>
      </c>
    </row>
    <row r="9" spans="1:16" ht="15.75" thickBot="1" x14ac:dyDescent="0.3">
      <c r="A9" s="936" t="s">
        <v>247</v>
      </c>
      <c r="B9" s="937"/>
      <c r="C9" s="937"/>
      <c r="D9" s="937"/>
      <c r="E9" s="937"/>
      <c r="F9" s="937"/>
      <c r="G9" s="937"/>
      <c r="H9" s="319">
        <f>+H12+H13+H14+H15+H17+H20+H21</f>
        <v>489148.94000000006</v>
      </c>
      <c r="J9" s="693">
        <v>60000</v>
      </c>
      <c r="K9" s="399" t="s">
        <v>872</v>
      </c>
      <c r="M9" s="700">
        <v>43656</v>
      </c>
      <c r="N9" s="701" t="s">
        <v>914</v>
      </c>
      <c r="O9" s="702" t="s">
        <v>915</v>
      </c>
      <c r="P9" s="703">
        <v>34560</v>
      </c>
    </row>
    <row r="10" spans="1:16" ht="15.75" thickBot="1" x14ac:dyDescent="0.3">
      <c r="A10" s="938" t="s">
        <v>248</v>
      </c>
      <c r="B10" s="939"/>
      <c r="C10" s="939"/>
      <c r="D10" s="939"/>
      <c r="E10" s="939"/>
      <c r="F10" s="939"/>
      <c r="G10" s="939"/>
      <c r="H10" s="320">
        <f>+H8-H9</f>
        <v>207826.91999999993</v>
      </c>
      <c r="J10" s="693">
        <v>100000</v>
      </c>
      <c r="K10" s="399" t="s">
        <v>1229</v>
      </c>
      <c r="M10" s="700">
        <v>43661</v>
      </c>
      <c r="N10" s="701" t="s">
        <v>914</v>
      </c>
      <c r="O10" s="702" t="s">
        <v>915</v>
      </c>
      <c r="P10" s="703">
        <v>32220</v>
      </c>
    </row>
    <row r="11" spans="1:16" ht="15.75" thickBot="1" x14ac:dyDescent="0.3">
      <c r="A11" s="250"/>
      <c r="B11" s="15"/>
      <c r="C11" s="263"/>
      <c r="D11" s="180"/>
      <c r="E11" s="187"/>
      <c r="F11" s="187"/>
      <c r="G11" s="187"/>
      <c r="H11" s="187"/>
      <c r="M11" s="700">
        <v>43669</v>
      </c>
      <c r="N11" s="701" t="s">
        <v>914</v>
      </c>
      <c r="O11" s="702" t="s">
        <v>915</v>
      </c>
      <c r="P11" s="703">
        <v>29540</v>
      </c>
    </row>
    <row r="12" spans="1:16" ht="15.75" thickBot="1" x14ac:dyDescent="0.3">
      <c r="A12" s="541">
        <v>43634</v>
      </c>
      <c r="B12" s="542" t="s">
        <v>807</v>
      </c>
      <c r="C12" s="543" t="s">
        <v>167</v>
      </c>
      <c r="D12" s="544">
        <v>33820</v>
      </c>
      <c r="E12" s="545">
        <v>1.9</v>
      </c>
      <c r="F12" s="545">
        <f t="shared" ref="F12:F21" si="0">+D12*E12</f>
        <v>64258</v>
      </c>
      <c r="G12" s="545">
        <f t="shared" ref="G12:G21" si="1">+F12*0.19</f>
        <v>12209.02</v>
      </c>
      <c r="H12" s="546">
        <f t="shared" ref="H12:H21" si="2">+F12+G12+0.6</f>
        <v>76467.62000000001</v>
      </c>
      <c r="M12" s="700">
        <v>43672</v>
      </c>
      <c r="N12" s="701" t="s">
        <v>914</v>
      </c>
      <c r="O12" s="702" t="s">
        <v>915</v>
      </c>
      <c r="P12" s="703">
        <v>27880</v>
      </c>
    </row>
    <row r="13" spans="1:16" x14ac:dyDescent="0.25">
      <c r="A13" s="547">
        <v>43637</v>
      </c>
      <c r="B13" s="548" t="s">
        <v>807</v>
      </c>
      <c r="C13" s="549" t="s">
        <v>167</v>
      </c>
      <c r="D13" s="550">
        <v>39620</v>
      </c>
      <c r="E13" s="551">
        <v>1.9</v>
      </c>
      <c r="F13" s="551">
        <f t="shared" si="0"/>
        <v>75278</v>
      </c>
      <c r="G13" s="551">
        <f t="shared" si="1"/>
        <v>14302.82</v>
      </c>
      <c r="H13" s="552">
        <f t="shared" si="2"/>
        <v>89581.420000000013</v>
      </c>
      <c r="M13" s="710"/>
      <c r="N13" s="396"/>
      <c r="O13" s="396"/>
      <c r="P13" s="711"/>
    </row>
    <row r="14" spans="1:16" x14ac:dyDescent="0.25">
      <c r="A14" s="547">
        <v>43641</v>
      </c>
      <c r="B14" s="548" t="s">
        <v>807</v>
      </c>
      <c r="C14" s="549" t="s">
        <v>167</v>
      </c>
      <c r="D14" s="550">
        <v>23260</v>
      </c>
      <c r="E14" s="551">
        <v>1.9</v>
      </c>
      <c r="F14" s="551">
        <f t="shared" si="0"/>
        <v>44194</v>
      </c>
      <c r="G14" s="551">
        <f t="shared" si="1"/>
        <v>8396.86</v>
      </c>
      <c r="H14" s="552">
        <f t="shared" si="2"/>
        <v>52591.46</v>
      </c>
      <c r="M14" s="686"/>
      <c r="P14" s="688"/>
    </row>
    <row r="15" spans="1:16" x14ac:dyDescent="0.25">
      <c r="A15" s="547">
        <v>43644</v>
      </c>
      <c r="B15" s="548" t="s">
        <v>807</v>
      </c>
      <c r="C15" s="549" t="s">
        <v>167</v>
      </c>
      <c r="D15" s="550">
        <v>31680</v>
      </c>
      <c r="E15" s="551">
        <v>1.9</v>
      </c>
      <c r="F15" s="551">
        <f t="shared" si="0"/>
        <v>60192</v>
      </c>
      <c r="G15" s="551">
        <f t="shared" si="1"/>
        <v>11436.48</v>
      </c>
      <c r="H15" s="552">
        <f t="shared" si="2"/>
        <v>71629.08</v>
      </c>
      <c r="M15" s="712">
        <v>43676</v>
      </c>
      <c r="N15" s="709" t="s">
        <v>920</v>
      </c>
      <c r="O15" s="709" t="s">
        <v>45</v>
      </c>
      <c r="P15" s="713">
        <v>32360</v>
      </c>
    </row>
    <row r="16" spans="1:16" s="396" customFormat="1" x14ac:dyDescent="0.25">
      <c r="A16" s="366">
        <v>43649</v>
      </c>
      <c r="B16" s="266" t="s">
        <v>807</v>
      </c>
      <c r="C16" s="270" t="s">
        <v>167</v>
      </c>
      <c r="D16" s="271">
        <v>25140</v>
      </c>
      <c r="E16" s="272">
        <v>1.9</v>
      </c>
      <c r="F16" s="272">
        <f t="shared" si="0"/>
        <v>47766</v>
      </c>
      <c r="G16" s="272">
        <f t="shared" si="1"/>
        <v>9075.5400000000009</v>
      </c>
      <c r="H16" s="367">
        <f t="shared" si="2"/>
        <v>56842.14</v>
      </c>
      <c r="M16" s="712">
        <v>43679</v>
      </c>
      <c r="N16" s="709" t="s">
        <v>920</v>
      </c>
      <c r="O16" s="709" t="s">
        <v>45</v>
      </c>
      <c r="P16" s="714">
        <v>31860</v>
      </c>
    </row>
    <row r="17" spans="1:16" s="396" customFormat="1" x14ac:dyDescent="0.25">
      <c r="A17" s="547">
        <v>43652</v>
      </c>
      <c r="B17" s="548" t="s">
        <v>807</v>
      </c>
      <c r="C17" s="549" t="s">
        <v>167</v>
      </c>
      <c r="D17" s="550">
        <v>30540</v>
      </c>
      <c r="E17" s="551">
        <v>1.9</v>
      </c>
      <c r="F17" s="551">
        <f t="shared" si="0"/>
        <v>58026</v>
      </c>
      <c r="G17" s="551">
        <f t="shared" si="1"/>
        <v>11024.94</v>
      </c>
      <c r="H17" s="552">
        <f t="shared" si="2"/>
        <v>69051.540000000008</v>
      </c>
      <c r="J17" s="396" t="s">
        <v>1227</v>
      </c>
      <c r="M17" s="712">
        <v>43683</v>
      </c>
      <c r="N17" s="709" t="s">
        <v>920</v>
      </c>
      <c r="O17" s="709" t="s">
        <v>45</v>
      </c>
      <c r="P17" s="714">
        <v>28240</v>
      </c>
    </row>
    <row r="18" spans="1:16" s="396" customFormat="1" x14ac:dyDescent="0.25">
      <c r="A18" s="366">
        <v>43656</v>
      </c>
      <c r="B18" s="266" t="s">
        <v>807</v>
      </c>
      <c r="C18" s="270" t="s">
        <v>167</v>
      </c>
      <c r="D18" s="271">
        <v>34560</v>
      </c>
      <c r="E18" s="272">
        <v>1.9</v>
      </c>
      <c r="F18" s="272">
        <f t="shared" si="0"/>
        <v>65664</v>
      </c>
      <c r="G18" s="272">
        <f t="shared" si="1"/>
        <v>12476.16</v>
      </c>
      <c r="H18" s="367">
        <f t="shared" si="2"/>
        <v>78140.760000000009</v>
      </c>
      <c r="M18" s="712">
        <v>43704</v>
      </c>
      <c r="N18" s="709" t="s">
        <v>920</v>
      </c>
      <c r="O18" s="709" t="s">
        <v>45</v>
      </c>
      <c r="P18" s="714">
        <v>36360</v>
      </c>
    </row>
    <row r="19" spans="1:16" s="396" customFormat="1" x14ac:dyDescent="0.25">
      <c r="A19" s="366">
        <v>43661</v>
      </c>
      <c r="B19" s="266" t="s">
        <v>807</v>
      </c>
      <c r="C19" s="270" t="s">
        <v>167</v>
      </c>
      <c r="D19" s="271">
        <v>32220</v>
      </c>
      <c r="E19" s="272">
        <v>1.9</v>
      </c>
      <c r="F19" s="272">
        <f t="shared" si="0"/>
        <v>61218</v>
      </c>
      <c r="G19" s="272">
        <f t="shared" si="1"/>
        <v>11631.42</v>
      </c>
      <c r="H19" s="367">
        <f t="shared" si="2"/>
        <v>72850.02</v>
      </c>
      <c r="M19" s="712">
        <v>43708</v>
      </c>
      <c r="N19" s="709" t="s">
        <v>920</v>
      </c>
      <c r="O19" s="709" t="s">
        <v>45</v>
      </c>
      <c r="P19" s="714">
        <v>30120</v>
      </c>
    </row>
    <row r="20" spans="1:16" s="396" customFormat="1" ht="15.75" thickBot="1" x14ac:dyDescent="0.3">
      <c r="A20" s="547">
        <v>43669</v>
      </c>
      <c r="B20" s="548" t="s">
        <v>807</v>
      </c>
      <c r="C20" s="549" t="s">
        <v>167</v>
      </c>
      <c r="D20" s="550">
        <v>29540</v>
      </c>
      <c r="E20" s="551">
        <v>1.9</v>
      </c>
      <c r="F20" s="551">
        <f t="shared" si="0"/>
        <v>56126</v>
      </c>
      <c r="G20" s="551">
        <f t="shared" si="1"/>
        <v>10663.94</v>
      </c>
      <c r="H20" s="552">
        <f t="shared" si="2"/>
        <v>66790.540000000008</v>
      </c>
      <c r="J20" s="396" t="s">
        <v>1228</v>
      </c>
      <c r="M20" s="715">
        <v>43711</v>
      </c>
      <c r="N20" s="716" t="s">
        <v>920</v>
      </c>
      <c r="O20" s="716" t="s">
        <v>45</v>
      </c>
      <c r="P20" s="717">
        <v>27740</v>
      </c>
    </row>
    <row r="21" spans="1:16" s="396" customFormat="1" x14ac:dyDescent="0.25">
      <c r="A21" s="547">
        <v>43672</v>
      </c>
      <c r="B21" s="548" t="s">
        <v>807</v>
      </c>
      <c r="C21" s="549" t="s">
        <v>167</v>
      </c>
      <c r="D21" s="550">
        <v>27880</v>
      </c>
      <c r="E21" s="551">
        <v>1.9</v>
      </c>
      <c r="F21" s="551">
        <f t="shared" si="0"/>
        <v>52972</v>
      </c>
      <c r="G21" s="551">
        <f t="shared" si="1"/>
        <v>10064.68</v>
      </c>
      <c r="H21" s="552">
        <f t="shared" si="2"/>
        <v>63037.279999999999</v>
      </c>
    </row>
    <row r="22" spans="1:16" s="396" customFormat="1" x14ac:dyDescent="0.25">
      <c r="A22" s="366"/>
      <c r="B22" s="266"/>
      <c r="C22" s="270"/>
      <c r="D22" s="271"/>
      <c r="E22" s="272"/>
      <c r="F22" s="272"/>
      <c r="G22" s="272"/>
      <c r="H22" s="367"/>
    </row>
    <row r="23" spans="1:16" s="396" customFormat="1" x14ac:dyDescent="0.25">
      <c r="A23" s="366"/>
      <c r="B23" s="266"/>
      <c r="C23" s="270"/>
      <c r="D23" s="271"/>
      <c r="E23" s="272"/>
      <c r="F23" s="272"/>
      <c r="G23" s="272"/>
      <c r="H23" s="367"/>
    </row>
    <row r="24" spans="1:16" ht="15.75" thickBot="1" x14ac:dyDescent="0.3">
      <c r="A24" s="368"/>
      <c r="B24" s="369"/>
      <c r="C24" s="370"/>
      <c r="D24" s="371"/>
      <c r="E24" s="372"/>
      <c r="F24" s="372"/>
      <c r="G24" s="372"/>
      <c r="H24" s="373"/>
    </row>
    <row r="25" spans="1:16" ht="15.75" thickBot="1" x14ac:dyDescent="0.3">
      <c r="A25" s="15"/>
      <c r="B25" s="15"/>
      <c r="C25" s="15"/>
      <c r="D25" s="15"/>
      <c r="E25" s="15"/>
      <c r="F25" s="15"/>
      <c r="G25" s="15"/>
      <c r="H25" s="435">
        <f>SUM(H12:H24)</f>
        <v>696981.8600000001</v>
      </c>
    </row>
  </sheetData>
  <sortState xmlns:xlrd2="http://schemas.microsoft.com/office/spreadsheetml/2017/richdata2" ref="A12:H19">
    <sortCondition ref="A12:A19"/>
  </sortState>
  <mergeCells count="15">
    <mergeCell ref="M2:P2"/>
    <mergeCell ref="A5:B5"/>
    <mergeCell ref="D5:E5"/>
    <mergeCell ref="A1:H1"/>
    <mergeCell ref="A3:B3"/>
    <mergeCell ref="D3:E3"/>
    <mergeCell ref="A4:B4"/>
    <mergeCell ref="D4:E4"/>
    <mergeCell ref="A10:G10"/>
    <mergeCell ref="A6:B6"/>
    <mergeCell ref="D6:E6"/>
    <mergeCell ref="A7:B7"/>
    <mergeCell ref="D7:E7"/>
    <mergeCell ref="A8:E8"/>
    <mergeCell ref="A9:G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84"/>
  <sheetViews>
    <sheetView zoomScale="80" zoomScaleNormal="80" workbookViewId="0">
      <pane ySplit="2" topLeftCell="A48" activePane="bottomLeft" state="frozen"/>
      <selection activeCell="F58" sqref="F58"/>
      <selection pane="bottomLeft" activeCell="G96" sqref="G96"/>
    </sheetView>
  </sheetViews>
  <sheetFormatPr baseColWidth="10" defaultRowHeight="15" x14ac:dyDescent="0.25"/>
  <cols>
    <col min="1" max="1" width="26.85546875" style="20" customWidth="1"/>
    <col min="2" max="12" width="14.7109375" style="57" customWidth="1"/>
    <col min="13" max="18" width="14.7109375" style="20" customWidth="1"/>
    <col min="19" max="20" width="11.42578125" style="20"/>
    <col min="21" max="21" width="12.85546875" style="20" bestFit="1" customWidth="1"/>
    <col min="22" max="22" width="21.85546875" style="20" customWidth="1"/>
    <col min="23" max="16384" width="11.42578125" style="20"/>
  </cols>
  <sheetData>
    <row r="1" spans="1:22" s="19" customFormat="1" thickBot="1" x14ac:dyDescent="0.25">
      <c r="B1" s="947" t="s">
        <v>103</v>
      </c>
      <c r="C1" s="948"/>
      <c r="D1" s="947" t="s">
        <v>45</v>
      </c>
      <c r="E1" s="949"/>
      <c r="F1" s="949"/>
      <c r="G1" s="949"/>
      <c r="H1" s="950"/>
      <c r="I1" s="949" t="s">
        <v>46</v>
      </c>
      <c r="J1" s="949"/>
      <c r="K1" s="949"/>
      <c r="L1" s="951"/>
      <c r="M1" s="83" t="s">
        <v>111</v>
      </c>
      <c r="N1" s="83" t="s">
        <v>114</v>
      </c>
      <c r="O1" s="83" t="s">
        <v>117</v>
      </c>
      <c r="P1" s="952" t="s">
        <v>603</v>
      </c>
      <c r="Q1" s="953"/>
      <c r="R1" s="83" t="s">
        <v>185</v>
      </c>
      <c r="S1" s="83" t="s">
        <v>186</v>
      </c>
    </row>
    <row r="2" spans="1:22" ht="15.75" thickBot="1" x14ac:dyDescent="0.3">
      <c r="B2" s="167" t="s">
        <v>102</v>
      </c>
      <c r="C2" s="169" t="s">
        <v>101</v>
      </c>
      <c r="D2" s="167" t="s">
        <v>112</v>
      </c>
      <c r="E2" s="168" t="s">
        <v>102</v>
      </c>
      <c r="F2" s="168" t="s">
        <v>101</v>
      </c>
      <c r="G2" s="168" t="s">
        <v>153</v>
      </c>
      <c r="H2" s="169" t="s">
        <v>164</v>
      </c>
      <c r="I2" s="167" t="s">
        <v>101</v>
      </c>
      <c r="J2" s="168" t="s">
        <v>100</v>
      </c>
      <c r="K2" s="168" t="s">
        <v>153</v>
      </c>
      <c r="L2" s="169" t="s">
        <v>164</v>
      </c>
      <c r="M2" s="276" t="s">
        <v>101</v>
      </c>
      <c r="N2" s="276" t="s">
        <v>115</v>
      </c>
      <c r="O2" s="276" t="s">
        <v>115</v>
      </c>
      <c r="P2" s="167" t="s">
        <v>115</v>
      </c>
      <c r="Q2" s="169" t="s">
        <v>153</v>
      </c>
      <c r="R2" s="276" t="s">
        <v>115</v>
      </c>
      <c r="S2" s="276" t="s">
        <v>115</v>
      </c>
    </row>
    <row r="3" spans="1:22" s="22" customFormat="1" x14ac:dyDescent="0.25">
      <c r="A3" s="21" t="s">
        <v>1422</v>
      </c>
      <c r="B3" s="76">
        <v>689.31799999999998</v>
      </c>
      <c r="C3" s="77">
        <v>-206803.24400000001</v>
      </c>
      <c r="D3" s="76">
        <v>1220.4549999999999</v>
      </c>
      <c r="E3" s="78">
        <v>18350.237000000001</v>
      </c>
      <c r="F3" s="78">
        <v>-1213633.8859999999</v>
      </c>
      <c r="G3" s="78">
        <v>169954.24</v>
      </c>
      <c r="H3" s="77">
        <v>3699.41</v>
      </c>
      <c r="I3" s="76">
        <v>37984.383000000002</v>
      </c>
      <c r="J3" s="78">
        <v>11587.395</v>
      </c>
      <c r="K3" s="78">
        <v>6694.08</v>
      </c>
      <c r="L3" s="77">
        <v>3595.27</v>
      </c>
      <c r="M3" s="671">
        <v>23221.967000000001</v>
      </c>
      <c r="N3" s="671">
        <v>4744.8100000000004</v>
      </c>
      <c r="O3" s="671">
        <v>10132.26</v>
      </c>
      <c r="P3" s="76">
        <v>12105.454</v>
      </c>
      <c r="Q3" s="77">
        <v>12614.17</v>
      </c>
      <c r="R3" s="671">
        <v>4993.1909999999998</v>
      </c>
      <c r="S3" s="671">
        <v>306.06900000000002</v>
      </c>
    </row>
    <row r="4" spans="1:22" ht="15.75" thickBot="1" x14ac:dyDescent="0.3">
      <c r="A4" s="406" t="s">
        <v>49</v>
      </c>
      <c r="B4" s="668">
        <f>SUM(B5:B8)</f>
        <v>0</v>
      </c>
      <c r="C4" s="670">
        <f>SUM(C5:C8)</f>
        <v>261549.67699999997</v>
      </c>
      <c r="D4" s="668">
        <f t="shared" ref="D4:P4" si="0">SUM(D5:D8)</f>
        <v>0</v>
      </c>
      <c r="E4" s="669">
        <f>SUM(E5:E8)</f>
        <v>0</v>
      </c>
      <c r="F4" s="669" t="e">
        <f>SUM(F5:F8)</f>
        <v>#REF!</v>
      </c>
      <c r="G4" s="669">
        <f>SUM(G5:G8)</f>
        <v>0</v>
      </c>
      <c r="H4" s="670">
        <f>SUM(H5:H8)</f>
        <v>0</v>
      </c>
      <c r="I4" s="668">
        <f t="shared" si="0"/>
        <v>0</v>
      </c>
      <c r="J4" s="669">
        <f>SUM(J5:J8)</f>
        <v>0</v>
      </c>
      <c r="K4" s="669">
        <f t="shared" si="0"/>
        <v>0</v>
      </c>
      <c r="L4" s="670">
        <f t="shared" si="0"/>
        <v>0</v>
      </c>
      <c r="M4" s="672" t="e">
        <f t="shared" si="0"/>
        <v>#REF!</v>
      </c>
      <c r="N4" s="672">
        <f t="shared" si="0"/>
        <v>0</v>
      </c>
      <c r="O4" s="672">
        <f t="shared" si="0"/>
        <v>0</v>
      </c>
      <c r="P4" s="668" t="e">
        <f t="shared" si="0"/>
        <v>#REF!</v>
      </c>
      <c r="Q4" s="670">
        <f>SUM(R5:R8)</f>
        <v>0</v>
      </c>
      <c r="R4" s="672">
        <f>SUM(S5:S8)</f>
        <v>0</v>
      </c>
      <c r="S4" s="672">
        <f>SUM(T5:T8)</f>
        <v>0</v>
      </c>
    </row>
    <row r="5" spans="1:22" x14ac:dyDescent="0.25">
      <c r="A5" s="407" t="s">
        <v>99</v>
      </c>
      <c r="B5" s="84"/>
      <c r="C5" s="85">
        <f>3295.789+246131.694</f>
        <v>249427.48299999998</v>
      </c>
      <c r="D5" s="84"/>
      <c r="E5" s="86"/>
      <c r="F5" s="86" t="e">
        <f>I64+M64+P64</f>
        <v>#REF!</v>
      </c>
      <c r="G5" s="86"/>
      <c r="H5" s="213"/>
      <c r="I5" s="273"/>
      <c r="J5" s="86"/>
      <c r="K5" s="86"/>
      <c r="L5" s="274"/>
      <c r="M5" s="275" t="e">
        <f>F69</f>
        <v>#REF!</v>
      </c>
      <c r="N5" s="274"/>
      <c r="O5" s="274"/>
      <c r="P5" s="293" t="e">
        <f>F68+I68</f>
        <v>#REF!</v>
      </c>
      <c r="Q5" s="294"/>
      <c r="R5" s="275"/>
      <c r="S5" s="274"/>
    </row>
    <row r="6" spans="1:22" x14ac:dyDescent="0.25">
      <c r="A6" s="407" t="s">
        <v>97</v>
      </c>
      <c r="B6" s="68"/>
      <c r="C6" s="80"/>
      <c r="D6" s="68"/>
      <c r="E6" s="72"/>
      <c r="F6" s="72"/>
      <c r="G6" s="72"/>
      <c r="H6" s="214"/>
      <c r="I6" s="217"/>
      <c r="J6" s="72"/>
      <c r="K6" s="72"/>
      <c r="L6" s="67"/>
      <c r="M6" s="222"/>
      <c r="N6" s="67"/>
      <c r="O6" s="67"/>
      <c r="P6" s="217"/>
      <c r="Q6" s="67"/>
      <c r="R6" s="222"/>
      <c r="S6" s="67"/>
    </row>
    <row r="7" spans="1:22" x14ac:dyDescent="0.25">
      <c r="A7" s="407" t="s">
        <v>98</v>
      </c>
      <c r="B7" s="68"/>
      <c r="C7" s="80">
        <f>6555.41+5566.784</f>
        <v>12122.194</v>
      </c>
      <c r="D7" s="68"/>
      <c r="E7" s="72"/>
      <c r="F7" s="72"/>
      <c r="G7" s="72"/>
      <c r="H7" s="214"/>
      <c r="I7" s="217"/>
      <c r="J7" s="72"/>
      <c r="K7" s="72"/>
      <c r="L7" s="67"/>
      <c r="M7" s="222"/>
      <c r="N7" s="67"/>
      <c r="O7" s="67"/>
      <c r="P7" s="217"/>
      <c r="Q7" s="67"/>
      <c r="R7" s="222"/>
      <c r="S7" s="67"/>
    </row>
    <row r="8" spans="1:22" x14ac:dyDescent="0.25">
      <c r="A8" s="407" t="s">
        <v>50</v>
      </c>
      <c r="B8" s="68"/>
      <c r="C8" s="80"/>
      <c r="D8" s="68"/>
      <c r="E8" s="72"/>
      <c r="F8" s="72"/>
      <c r="G8" s="72"/>
      <c r="H8" s="214"/>
      <c r="I8" s="217"/>
      <c r="J8" s="72"/>
      <c r="K8" s="72"/>
      <c r="L8" s="67"/>
      <c r="M8" s="222"/>
      <c r="N8" s="67"/>
      <c r="O8" s="67"/>
      <c r="P8" s="217"/>
      <c r="Q8" s="67"/>
      <c r="R8" s="222"/>
      <c r="S8" s="67"/>
    </row>
    <row r="9" spans="1:22" s="356" customFormat="1" x14ac:dyDescent="0.25">
      <c r="A9" s="355" t="s">
        <v>51</v>
      </c>
      <c r="B9" s="408">
        <f>B10+B11+B12+B13+B14</f>
        <v>0</v>
      </c>
      <c r="C9" s="409">
        <f>C10+C11+C12+C13+C14</f>
        <v>0</v>
      </c>
      <c r="D9" s="408">
        <f>D10+D11+D13+D14+D23+D30</f>
        <v>0</v>
      </c>
      <c r="E9" s="410">
        <f>E10+E11+E12+E13+E14</f>
        <v>0</v>
      </c>
      <c r="F9" s="410">
        <f>F14+F10+F11+F12+F13</f>
        <v>315000</v>
      </c>
      <c r="G9" s="410">
        <f>G14</f>
        <v>35709.26999999999</v>
      </c>
      <c r="H9" s="410">
        <f>H14</f>
        <v>0</v>
      </c>
      <c r="I9" s="408" t="e">
        <f>I10+I11+I13+I14+I30+I27+I12</f>
        <v>#REF!</v>
      </c>
      <c r="J9" s="410">
        <f>J10+J11+J13+J14+J23+J30+J27</f>
        <v>0</v>
      </c>
      <c r="K9" s="410">
        <f t="shared" ref="K9:S9" si="1">K10+K11+K13+K14+K23+K30</f>
        <v>0</v>
      </c>
      <c r="L9" s="411">
        <f t="shared" si="1"/>
        <v>0</v>
      </c>
      <c r="M9" s="412">
        <f t="shared" si="1"/>
        <v>0</v>
      </c>
      <c r="N9" s="411">
        <f t="shared" si="1"/>
        <v>0</v>
      </c>
      <c r="O9" s="411">
        <f t="shared" si="1"/>
        <v>0</v>
      </c>
      <c r="P9" s="408">
        <f t="shared" si="1"/>
        <v>0</v>
      </c>
      <c r="Q9" s="411">
        <f t="shared" si="1"/>
        <v>0</v>
      </c>
      <c r="R9" s="412">
        <f t="shared" si="1"/>
        <v>0</v>
      </c>
      <c r="S9" s="411">
        <f t="shared" si="1"/>
        <v>0</v>
      </c>
      <c r="V9" s="357"/>
    </row>
    <row r="10" spans="1:22" x14ac:dyDescent="0.25">
      <c r="A10" s="407" t="s">
        <v>540</v>
      </c>
      <c r="B10" s="68"/>
      <c r="C10" s="80"/>
      <c r="D10" s="68"/>
      <c r="E10" s="72"/>
      <c r="F10" s="72">
        <f>C64+B64</f>
        <v>265000</v>
      </c>
      <c r="G10" s="72"/>
      <c r="H10" s="214"/>
      <c r="I10" s="217" t="e">
        <f>#REF!+#REF!+#REF!</f>
        <v>#REF!</v>
      </c>
      <c r="J10" s="72"/>
      <c r="K10" s="72"/>
      <c r="L10" s="67"/>
      <c r="M10" s="222">
        <v>0</v>
      </c>
      <c r="N10" s="67">
        <f>F66+I66</f>
        <v>0</v>
      </c>
      <c r="O10" s="67">
        <f>+F67</f>
        <v>0</v>
      </c>
      <c r="P10" s="217">
        <v>0</v>
      </c>
      <c r="Q10" s="67"/>
      <c r="R10" s="222"/>
      <c r="S10" s="67">
        <f>+O72</f>
        <v>0</v>
      </c>
      <c r="V10" s="262"/>
    </row>
    <row r="11" spans="1:22" x14ac:dyDescent="0.25">
      <c r="A11" s="407" t="s">
        <v>98</v>
      </c>
      <c r="B11" s="68"/>
      <c r="C11" s="80"/>
      <c r="D11" s="68"/>
      <c r="E11" s="72"/>
      <c r="F11" s="72"/>
      <c r="G11" s="72"/>
      <c r="H11" s="214"/>
      <c r="I11" s="217"/>
      <c r="J11" s="72"/>
      <c r="K11" s="72"/>
      <c r="L11" s="67"/>
      <c r="M11" s="222"/>
      <c r="N11" s="67"/>
      <c r="O11" s="67"/>
      <c r="P11" s="217"/>
      <c r="Q11" s="67"/>
      <c r="R11" s="222"/>
      <c r="S11" s="67"/>
      <c r="V11" s="262"/>
    </row>
    <row r="12" spans="1:22" x14ac:dyDescent="0.25">
      <c r="A12" s="407" t="s">
        <v>541</v>
      </c>
      <c r="B12" s="68"/>
      <c r="C12" s="80"/>
      <c r="D12" s="68"/>
      <c r="E12" s="72"/>
      <c r="F12" s="72">
        <v>50000</v>
      </c>
      <c r="G12" s="72"/>
      <c r="H12" s="214"/>
      <c r="I12" s="217"/>
      <c r="J12" s="72"/>
      <c r="K12" s="72"/>
      <c r="L12" s="67"/>
      <c r="M12" s="222"/>
      <c r="N12" s="67"/>
      <c r="O12" s="67"/>
      <c r="P12" s="217"/>
      <c r="Q12" s="67"/>
      <c r="R12" s="222"/>
      <c r="S12" s="67"/>
    </row>
    <row r="13" spans="1:22" x14ac:dyDescent="0.25">
      <c r="A13" s="407" t="s">
        <v>97</v>
      </c>
      <c r="B13" s="68"/>
      <c r="C13" s="80"/>
      <c r="D13" s="68"/>
      <c r="E13" s="72"/>
      <c r="F13" s="72"/>
      <c r="G13" s="72"/>
      <c r="H13" s="214"/>
      <c r="I13" s="217"/>
      <c r="J13" s="73"/>
      <c r="K13" s="72"/>
      <c r="L13" s="67"/>
      <c r="M13" s="222"/>
      <c r="N13" s="67"/>
      <c r="O13" s="67"/>
      <c r="P13" s="217"/>
      <c r="Q13" s="67"/>
      <c r="R13" s="222"/>
      <c r="S13" s="67"/>
    </row>
    <row r="14" spans="1:22" s="19" customFormat="1" ht="14.25" x14ac:dyDescent="0.2">
      <c r="A14" s="24" t="s">
        <v>50</v>
      </c>
      <c r="B14" s="405">
        <v>0</v>
      </c>
      <c r="C14" s="81">
        <v>0</v>
      </c>
      <c r="D14" s="63">
        <f>SUM(D15:D21)</f>
        <v>0</v>
      </c>
      <c r="E14" s="73">
        <f>SUM(E15:E30)</f>
        <v>0</v>
      </c>
      <c r="F14" s="73">
        <f>SUM(F15:F30)</f>
        <v>0</v>
      </c>
      <c r="G14" s="73">
        <f>SUM(G15:G31)</f>
        <v>35709.26999999999</v>
      </c>
      <c r="H14" s="215">
        <f>SUM(H15:H31)</f>
        <v>0</v>
      </c>
      <c r="I14" s="63">
        <f>SUM(I15:I30)</f>
        <v>0</v>
      </c>
      <c r="J14" s="73">
        <f>SUM(J15:J30)</f>
        <v>0</v>
      </c>
      <c r="K14" s="73">
        <f>SUM(K15:K30)</f>
        <v>0</v>
      </c>
      <c r="L14" s="62">
        <f>SUM(L15:L21)</f>
        <v>0</v>
      </c>
      <c r="M14" s="62">
        <f>SUM(M15:M21)</f>
        <v>0</v>
      </c>
      <c r="N14" s="62">
        <f>SUM(N15:N21)</f>
        <v>0</v>
      </c>
      <c r="O14" s="62">
        <f>SUM(O15:O21)</f>
        <v>0</v>
      </c>
      <c r="P14" s="63">
        <f>SUM(P15:P21)</f>
        <v>0</v>
      </c>
      <c r="Q14" s="62">
        <f>SUM(Q15:Q30)</f>
        <v>0</v>
      </c>
      <c r="R14" s="62">
        <f>SUM(R15:R30)</f>
        <v>0</v>
      </c>
      <c r="S14" s="62">
        <f>SUM(S15:S30)</f>
        <v>0</v>
      </c>
    </row>
    <row r="15" spans="1:22" x14ac:dyDescent="0.25">
      <c r="A15" s="413" t="s">
        <v>52</v>
      </c>
      <c r="B15" s="68"/>
      <c r="C15" s="80"/>
      <c r="D15" s="68"/>
      <c r="E15" s="72"/>
      <c r="F15" s="260">
        <f>G65*3.112</f>
        <v>0</v>
      </c>
      <c r="G15" s="260"/>
      <c r="H15" s="214">
        <f>F65/2.4</f>
        <v>0</v>
      </c>
      <c r="I15" s="308">
        <f>L65*2.993</f>
        <v>0</v>
      </c>
      <c r="J15" s="72"/>
      <c r="K15" s="260"/>
      <c r="L15" s="228"/>
      <c r="M15" s="222"/>
      <c r="N15" s="67"/>
      <c r="O15" s="67"/>
      <c r="P15" s="217"/>
      <c r="Q15" s="67"/>
      <c r="R15" s="222"/>
      <c r="S15" s="67"/>
    </row>
    <row r="16" spans="1:22" x14ac:dyDescent="0.25">
      <c r="A16" s="413" t="s">
        <v>53</v>
      </c>
      <c r="B16" s="68"/>
      <c r="C16" s="80"/>
      <c r="D16" s="68"/>
      <c r="E16" s="72"/>
      <c r="F16" s="72"/>
      <c r="G16" s="72"/>
      <c r="H16" s="265"/>
      <c r="I16" s="217"/>
      <c r="J16" s="72"/>
      <c r="K16" s="72"/>
      <c r="L16" s="67"/>
      <c r="M16" s="222"/>
      <c r="N16" s="67"/>
      <c r="O16" s="67"/>
      <c r="P16" s="217"/>
      <c r="Q16" s="67"/>
      <c r="R16" s="222"/>
      <c r="S16" s="67"/>
    </row>
    <row r="17" spans="1:19" x14ac:dyDescent="0.25">
      <c r="A17" s="413" t="s">
        <v>54</v>
      </c>
      <c r="B17" s="68"/>
      <c r="C17" s="80"/>
      <c r="D17" s="68"/>
      <c r="E17" s="72"/>
      <c r="F17" s="72"/>
      <c r="G17" s="72"/>
      <c r="H17" s="245"/>
      <c r="I17" s="217"/>
      <c r="J17" s="72"/>
      <c r="K17" s="72"/>
      <c r="L17" s="67"/>
      <c r="M17" s="222"/>
      <c r="N17" s="67"/>
      <c r="O17" s="67"/>
      <c r="P17" s="217"/>
      <c r="Q17" s="67"/>
      <c r="R17" s="222"/>
      <c r="S17" s="67"/>
    </row>
    <row r="18" spans="1:19" x14ac:dyDescent="0.25">
      <c r="A18" s="413" t="s">
        <v>257</v>
      </c>
      <c r="B18" s="68"/>
      <c r="C18" s="80"/>
      <c r="D18" s="68"/>
      <c r="E18" s="72"/>
      <c r="F18" s="72"/>
      <c r="G18" s="72"/>
      <c r="H18" s="245"/>
      <c r="I18" s="217"/>
      <c r="J18" s="72"/>
      <c r="K18" s="72"/>
      <c r="L18" s="67"/>
      <c r="M18" s="222"/>
      <c r="N18" s="67"/>
      <c r="O18" s="67"/>
      <c r="P18" s="217"/>
      <c r="Q18" s="67"/>
      <c r="R18" s="222"/>
      <c r="S18" s="67"/>
    </row>
    <row r="19" spans="1:19" x14ac:dyDescent="0.25">
      <c r="A19" s="413" t="s">
        <v>55</v>
      </c>
      <c r="B19" s="68"/>
      <c r="C19" s="80"/>
      <c r="D19" s="68"/>
      <c r="E19" s="72"/>
      <c r="F19" s="72"/>
      <c r="G19" s="184"/>
      <c r="H19" s="214"/>
      <c r="I19" s="217"/>
      <c r="J19" s="72"/>
      <c r="K19" s="72"/>
      <c r="L19" s="67"/>
      <c r="M19" s="222"/>
      <c r="N19" s="67"/>
      <c r="O19" s="67"/>
      <c r="P19" s="217"/>
      <c r="Q19" s="67"/>
      <c r="R19" s="222"/>
      <c r="S19" s="67"/>
    </row>
    <row r="20" spans="1:19" x14ac:dyDescent="0.25">
      <c r="A20" s="413" t="s">
        <v>812</v>
      </c>
      <c r="B20" s="68"/>
      <c r="C20" s="80"/>
      <c r="D20" s="68"/>
      <c r="E20" s="72"/>
      <c r="F20" s="72"/>
      <c r="G20" s="184"/>
      <c r="H20" s="214"/>
      <c r="I20" s="217"/>
      <c r="J20" s="72"/>
      <c r="K20" s="72"/>
      <c r="L20" s="67"/>
      <c r="M20" s="222"/>
      <c r="N20" s="67"/>
      <c r="O20" s="67"/>
      <c r="P20" s="217"/>
      <c r="Q20" s="67"/>
      <c r="R20" s="222"/>
      <c r="S20" s="67"/>
    </row>
    <row r="21" spans="1:19" x14ac:dyDescent="0.25">
      <c r="A21" s="413" t="s">
        <v>56</v>
      </c>
      <c r="B21" s="68"/>
      <c r="C21" s="80"/>
      <c r="D21" s="68"/>
      <c r="E21" s="72"/>
      <c r="F21" s="260"/>
      <c r="G21" s="72">
        <f>EXPORT!M185+33000</f>
        <v>35709.26999999999</v>
      </c>
      <c r="H21" s="214"/>
      <c r="I21" s="217"/>
      <c r="J21" s="72"/>
      <c r="K21" s="184"/>
      <c r="L21" s="67"/>
      <c r="M21" s="222"/>
      <c r="N21" s="67"/>
      <c r="O21" s="67"/>
      <c r="P21" s="217"/>
      <c r="Q21" s="67"/>
      <c r="R21" s="222"/>
      <c r="S21" s="67"/>
    </row>
    <row r="22" spans="1:19" x14ac:dyDescent="0.25">
      <c r="A22" s="413" t="s">
        <v>552</v>
      </c>
      <c r="B22" s="68"/>
      <c r="C22" s="80"/>
      <c r="D22" s="68"/>
      <c r="E22" s="72"/>
      <c r="F22" s="72"/>
      <c r="H22" s="214"/>
      <c r="I22" s="217"/>
      <c r="J22" s="72"/>
      <c r="K22" s="184"/>
      <c r="L22" s="67"/>
      <c r="M22" s="222"/>
      <c r="N22" s="67"/>
      <c r="O22" s="67"/>
      <c r="P22" s="217"/>
      <c r="Q22" s="67"/>
      <c r="R22" s="222"/>
      <c r="S22" s="67"/>
    </row>
    <row r="23" spans="1:19" x14ac:dyDescent="0.25">
      <c r="A23" s="407" t="s">
        <v>570</v>
      </c>
      <c r="B23" s="68"/>
      <c r="C23" s="80"/>
      <c r="D23" s="68"/>
      <c r="E23" s="244"/>
      <c r="F23" s="72"/>
      <c r="G23" s="260"/>
      <c r="H23" s="245"/>
      <c r="I23" s="217"/>
      <c r="J23" s="72"/>
      <c r="K23" s="244"/>
      <c r="L23" s="67"/>
      <c r="M23" s="222"/>
      <c r="N23" s="67"/>
      <c r="O23" s="67"/>
      <c r="P23" s="217"/>
      <c r="Q23" s="67"/>
      <c r="R23" s="222"/>
      <c r="S23" s="67"/>
    </row>
    <row r="24" spans="1:19" x14ac:dyDescent="0.25">
      <c r="A24" s="407" t="s">
        <v>88</v>
      </c>
      <c r="B24" s="68"/>
      <c r="C24" s="80"/>
      <c r="D24" s="68"/>
      <c r="E24" s="244"/>
      <c r="F24" s="260"/>
      <c r="G24" s="72"/>
      <c r="H24" s="214"/>
      <c r="I24" s="217"/>
      <c r="J24" s="72"/>
      <c r="K24" s="72"/>
      <c r="L24" s="67"/>
      <c r="M24" s="222"/>
      <c r="N24" s="67"/>
      <c r="O24" s="67"/>
      <c r="P24" s="217"/>
      <c r="Q24" s="67"/>
      <c r="R24" s="222"/>
      <c r="S24" s="67"/>
    </row>
    <row r="25" spans="1:19" x14ac:dyDescent="0.25">
      <c r="A25" s="407" t="s">
        <v>234</v>
      </c>
      <c r="B25" s="68"/>
      <c r="C25" s="80"/>
      <c r="D25" s="68"/>
      <c r="E25" s="244"/>
      <c r="F25" s="260"/>
      <c r="G25" s="72"/>
      <c r="H25" s="214"/>
      <c r="I25" s="308"/>
      <c r="J25" s="72"/>
      <c r="K25" s="72"/>
      <c r="L25" s="67"/>
      <c r="M25" s="222"/>
      <c r="N25" s="67"/>
      <c r="O25" s="67"/>
      <c r="P25" s="217"/>
      <c r="Q25" s="67"/>
      <c r="R25" s="222"/>
      <c r="S25" s="67"/>
    </row>
    <row r="26" spans="1:19" x14ac:dyDescent="0.25">
      <c r="A26" s="407" t="s">
        <v>258</v>
      </c>
      <c r="B26" s="68"/>
      <c r="C26" s="80"/>
      <c r="D26" s="68"/>
      <c r="E26" s="244"/>
      <c r="F26" s="260"/>
      <c r="G26" s="72"/>
      <c r="H26" s="214"/>
      <c r="I26" s="308"/>
      <c r="J26" s="72"/>
      <c r="K26" s="72"/>
      <c r="L26" s="67"/>
      <c r="M26" s="222"/>
      <c r="N26" s="67"/>
      <c r="O26" s="67"/>
      <c r="P26" s="217"/>
      <c r="Q26" s="67"/>
      <c r="R26" s="222"/>
      <c r="S26" s="67"/>
    </row>
    <row r="27" spans="1:19" x14ac:dyDescent="0.25">
      <c r="A27" s="407" t="s">
        <v>116</v>
      </c>
      <c r="B27" s="68"/>
      <c r="C27" s="80"/>
      <c r="D27" s="68"/>
      <c r="E27" s="244"/>
      <c r="F27" s="72"/>
      <c r="G27" s="72"/>
      <c r="H27" s="214"/>
      <c r="I27" s="217"/>
      <c r="J27" s="72"/>
      <c r="K27" s="72"/>
      <c r="L27" s="67"/>
      <c r="M27" s="222"/>
      <c r="N27" s="67"/>
      <c r="O27" s="67"/>
      <c r="P27" s="217"/>
      <c r="Q27" s="67"/>
      <c r="R27" s="222"/>
      <c r="S27" s="67"/>
    </row>
    <row r="28" spans="1:19" x14ac:dyDescent="0.25">
      <c r="A28" s="407" t="s">
        <v>217</v>
      </c>
      <c r="B28" s="68"/>
      <c r="C28" s="80"/>
      <c r="D28" s="68"/>
      <c r="E28" s="244"/>
      <c r="F28" s="73"/>
      <c r="G28" s="72"/>
      <c r="H28" s="214"/>
      <c r="I28" s="217"/>
      <c r="J28" s="72"/>
      <c r="K28" s="72"/>
      <c r="L28" s="67"/>
      <c r="M28" s="222"/>
      <c r="N28" s="67"/>
      <c r="O28" s="67"/>
      <c r="P28" s="217"/>
      <c r="Q28" s="67"/>
      <c r="R28" s="222"/>
      <c r="S28" s="67"/>
    </row>
    <row r="29" spans="1:19" x14ac:dyDescent="0.25">
      <c r="A29" s="407" t="s">
        <v>569</v>
      </c>
      <c r="B29" s="68"/>
      <c r="C29" s="80"/>
      <c r="D29" s="68"/>
      <c r="E29" s="244"/>
      <c r="F29" s="72"/>
      <c r="G29" s="72"/>
      <c r="H29" s="214"/>
      <c r="I29" s="217"/>
      <c r="J29" s="72"/>
      <c r="K29" s="72"/>
      <c r="L29" s="67"/>
      <c r="M29" s="222"/>
      <c r="N29" s="67"/>
      <c r="O29" s="67"/>
      <c r="P29" s="217"/>
      <c r="Q29" s="67"/>
      <c r="R29" s="222"/>
      <c r="S29" s="67"/>
    </row>
    <row r="30" spans="1:19" x14ac:dyDescent="0.25">
      <c r="A30" s="407" t="s">
        <v>2</v>
      </c>
      <c r="B30" s="68"/>
      <c r="C30" s="80"/>
      <c r="D30" s="68"/>
      <c r="E30" s="244"/>
      <c r="F30" s="72"/>
      <c r="G30" s="72"/>
      <c r="H30" s="214"/>
      <c r="I30" s="217"/>
      <c r="J30" s="72"/>
      <c r="K30" s="72"/>
      <c r="L30" s="67"/>
      <c r="M30" s="222"/>
      <c r="N30" s="67"/>
      <c r="O30" s="67"/>
      <c r="P30" s="217"/>
      <c r="Q30" s="67"/>
      <c r="R30" s="222"/>
      <c r="S30" s="67"/>
    </row>
    <row r="31" spans="1:19" x14ac:dyDescent="0.25">
      <c r="A31" s="414" t="s">
        <v>189</v>
      </c>
      <c r="B31" s="98"/>
      <c r="C31" s="99"/>
      <c r="D31" s="98"/>
      <c r="E31" s="100"/>
      <c r="F31" s="100"/>
      <c r="G31" s="100"/>
      <c r="H31" s="216"/>
      <c r="I31" s="218"/>
      <c r="J31" s="100"/>
      <c r="K31" s="100"/>
      <c r="L31" s="101"/>
      <c r="M31" s="224"/>
      <c r="N31" s="101"/>
      <c r="O31" s="101"/>
      <c r="P31" s="218"/>
      <c r="Q31" s="101"/>
      <c r="R31" s="224"/>
      <c r="S31" s="101"/>
    </row>
    <row r="32" spans="1:19" ht="15.75" thickBot="1" x14ac:dyDescent="0.3">
      <c r="A32" s="414" t="s">
        <v>88</v>
      </c>
      <c r="B32" s="287"/>
      <c r="C32" s="295"/>
      <c r="D32" s="287"/>
      <c r="E32" s="288"/>
      <c r="F32" s="288"/>
      <c r="G32" s="288"/>
      <c r="H32" s="289"/>
      <c r="I32" s="251"/>
      <c r="J32" s="252"/>
      <c r="K32" s="252"/>
      <c r="L32" s="253"/>
      <c r="M32" s="281"/>
      <c r="N32" s="282"/>
      <c r="O32" s="282"/>
      <c r="P32" s="251"/>
      <c r="Q32" s="253"/>
      <c r="R32" s="281"/>
      <c r="S32" s="282"/>
    </row>
    <row r="33" spans="1:19" ht="15.75" thickBot="1" x14ac:dyDescent="0.3">
      <c r="A33" s="23" t="s">
        <v>57</v>
      </c>
      <c r="B33" s="279">
        <f t="shared" ref="B33:S33" si="2">B34+B49+B74</f>
        <v>0</v>
      </c>
      <c r="C33" s="280" t="e">
        <f t="shared" si="2"/>
        <v>#REF!</v>
      </c>
      <c r="D33" s="279">
        <f t="shared" si="2"/>
        <v>0</v>
      </c>
      <c r="E33" s="284">
        <f t="shared" si="2"/>
        <v>0</v>
      </c>
      <c r="F33" s="284" t="e">
        <f t="shared" si="2"/>
        <v>#REF!</v>
      </c>
      <c r="G33" s="284">
        <f t="shared" si="2"/>
        <v>0</v>
      </c>
      <c r="H33" s="280">
        <f t="shared" si="2"/>
        <v>0</v>
      </c>
      <c r="I33" s="286">
        <f t="shared" si="2"/>
        <v>275782.94900000002</v>
      </c>
      <c r="J33" s="254">
        <f t="shared" si="2"/>
        <v>0</v>
      </c>
      <c r="K33" s="254">
        <f t="shared" si="2"/>
        <v>0</v>
      </c>
      <c r="L33" s="255">
        <f t="shared" si="2"/>
        <v>0</v>
      </c>
      <c r="M33" s="285" t="e">
        <f t="shared" si="2"/>
        <v>#REF!</v>
      </c>
      <c r="N33" s="285">
        <f t="shared" si="2"/>
        <v>0</v>
      </c>
      <c r="O33" s="285">
        <f t="shared" si="2"/>
        <v>0</v>
      </c>
      <c r="P33" s="279" t="e">
        <f t="shared" si="2"/>
        <v>#REF!</v>
      </c>
      <c r="Q33" s="280">
        <f t="shared" si="2"/>
        <v>0</v>
      </c>
      <c r="R33" s="285">
        <f t="shared" si="2"/>
        <v>0</v>
      </c>
      <c r="S33" s="285">
        <f t="shared" si="2"/>
        <v>0</v>
      </c>
    </row>
    <row r="34" spans="1:19" s="19" customFormat="1" ht="14.25" x14ac:dyDescent="0.2">
      <c r="A34" s="24" t="s">
        <v>58</v>
      </c>
      <c r="B34" s="290">
        <f>SUM(B35:B48)</f>
        <v>0</v>
      </c>
      <c r="C34" s="296"/>
      <c r="D34" s="290">
        <f t="shared" ref="D34:S34" si="3">SUM(D35:D48)</f>
        <v>0</v>
      </c>
      <c r="E34" s="291">
        <f t="shared" si="3"/>
        <v>0</v>
      </c>
      <c r="F34" s="291">
        <f t="shared" si="3"/>
        <v>0</v>
      </c>
      <c r="G34" s="291">
        <f t="shared" si="3"/>
        <v>0</v>
      </c>
      <c r="H34" s="292">
        <f>SUM(H35:H48)</f>
        <v>0</v>
      </c>
      <c r="I34" s="256">
        <f t="shared" si="3"/>
        <v>0</v>
      </c>
      <c r="J34" s="257">
        <f t="shared" si="3"/>
        <v>0</v>
      </c>
      <c r="K34" s="257">
        <f t="shared" si="3"/>
        <v>0</v>
      </c>
      <c r="L34" s="258">
        <f t="shared" si="3"/>
        <v>0</v>
      </c>
      <c r="M34" s="283">
        <f t="shared" si="3"/>
        <v>0</v>
      </c>
      <c r="N34" s="278">
        <f t="shared" si="3"/>
        <v>0</v>
      </c>
      <c r="O34" s="278">
        <f t="shared" si="3"/>
        <v>0</v>
      </c>
      <c r="P34" s="256">
        <f t="shared" si="3"/>
        <v>0</v>
      </c>
      <c r="Q34" s="258">
        <f>SUM(Q35:Q48)</f>
        <v>0</v>
      </c>
      <c r="R34" s="283">
        <f t="shared" si="3"/>
        <v>0</v>
      </c>
      <c r="S34" s="278">
        <f t="shared" si="3"/>
        <v>0</v>
      </c>
    </row>
    <row r="35" spans="1:19" x14ac:dyDescent="0.25">
      <c r="A35" s="415" t="s">
        <v>59</v>
      </c>
      <c r="B35" s="416"/>
      <c r="C35" s="417"/>
      <c r="D35" s="416"/>
      <c r="E35" s="75"/>
      <c r="F35" s="75"/>
      <c r="G35" s="75"/>
      <c r="H35" s="220"/>
      <c r="I35" s="61"/>
      <c r="J35" s="75"/>
      <c r="K35" s="75"/>
      <c r="L35" s="60"/>
      <c r="M35" s="225"/>
      <c r="N35" s="60"/>
      <c r="O35" s="60"/>
      <c r="P35" s="61"/>
      <c r="Q35" s="60"/>
      <c r="R35" s="225"/>
      <c r="S35" s="60"/>
    </row>
    <row r="36" spans="1:19" x14ac:dyDescent="0.25">
      <c r="A36" s="415" t="s">
        <v>255</v>
      </c>
      <c r="B36" s="416"/>
      <c r="C36" s="417"/>
      <c r="D36" s="416"/>
      <c r="E36" s="75"/>
      <c r="F36" s="75"/>
      <c r="G36" s="75"/>
      <c r="H36" s="220"/>
      <c r="I36" s="61"/>
      <c r="J36" s="75"/>
      <c r="K36" s="75"/>
      <c r="L36" s="60"/>
      <c r="M36" s="225"/>
      <c r="N36" s="60"/>
      <c r="O36" s="60"/>
      <c r="P36" s="61"/>
      <c r="Q36" s="60"/>
      <c r="R36" s="225"/>
      <c r="S36" s="60"/>
    </row>
    <row r="37" spans="1:19" x14ac:dyDescent="0.25">
      <c r="A37" s="415" t="s">
        <v>129</v>
      </c>
      <c r="B37" s="416"/>
      <c r="C37" s="417"/>
      <c r="D37" s="416"/>
      <c r="E37" s="75"/>
      <c r="F37" s="75"/>
      <c r="G37" s="75"/>
      <c r="H37" s="220"/>
      <c r="I37" s="61"/>
      <c r="J37" s="75"/>
      <c r="K37" s="75"/>
      <c r="L37" s="60"/>
      <c r="M37" s="225"/>
      <c r="N37" s="60"/>
      <c r="O37" s="60"/>
      <c r="P37" s="61"/>
      <c r="Q37" s="60"/>
      <c r="R37" s="225"/>
      <c r="S37" s="60"/>
    </row>
    <row r="38" spans="1:19" x14ac:dyDescent="0.25">
      <c r="A38" s="415" t="s">
        <v>60</v>
      </c>
      <c r="B38" s="416"/>
      <c r="C38" s="417"/>
      <c r="D38" s="416"/>
      <c r="E38" s="75"/>
      <c r="F38" s="75"/>
      <c r="G38" s="75"/>
      <c r="H38" s="220"/>
      <c r="I38" s="61"/>
      <c r="J38" s="75"/>
      <c r="K38" s="75"/>
      <c r="L38" s="60"/>
      <c r="M38" s="225"/>
      <c r="N38" s="60"/>
      <c r="O38" s="60"/>
      <c r="P38" s="61"/>
      <c r="Q38" s="60"/>
      <c r="R38" s="225"/>
      <c r="S38" s="60"/>
    </row>
    <row r="39" spans="1:19" x14ac:dyDescent="0.25">
      <c r="A39" s="415" t="s">
        <v>499</v>
      </c>
      <c r="B39" s="416"/>
      <c r="C39" s="417"/>
      <c r="D39" s="416"/>
      <c r="E39" s="75"/>
      <c r="F39" s="75"/>
      <c r="G39" s="75"/>
      <c r="H39" s="220"/>
      <c r="I39" s="61"/>
      <c r="J39" s="75"/>
      <c r="K39" s="75"/>
      <c r="L39" s="60"/>
      <c r="M39" s="225"/>
      <c r="N39" s="60"/>
      <c r="O39" s="60"/>
      <c r="P39" s="61"/>
      <c r="Q39" s="60"/>
      <c r="R39" s="225"/>
      <c r="S39" s="60"/>
    </row>
    <row r="40" spans="1:19" x14ac:dyDescent="0.25">
      <c r="A40" s="415" t="s">
        <v>190</v>
      </c>
      <c r="B40" s="416"/>
      <c r="C40" s="417"/>
      <c r="D40" s="416"/>
      <c r="E40" s="75"/>
      <c r="F40" s="75"/>
      <c r="G40" s="75"/>
      <c r="H40" s="418"/>
      <c r="I40" s="61"/>
      <c r="J40" s="75"/>
      <c r="K40" s="75"/>
      <c r="L40" s="60"/>
      <c r="M40" s="225"/>
      <c r="N40" s="60"/>
      <c r="O40" s="60"/>
      <c r="P40" s="61"/>
      <c r="Q40" s="60"/>
      <c r="R40" s="225"/>
      <c r="S40" s="60"/>
    </row>
    <row r="41" spans="1:19" x14ac:dyDescent="0.25">
      <c r="A41" s="415" t="s">
        <v>61</v>
      </c>
      <c r="B41" s="416"/>
      <c r="C41" s="417"/>
      <c r="D41" s="416"/>
      <c r="E41" s="75"/>
      <c r="F41" s="75"/>
      <c r="G41" s="75"/>
      <c r="H41" s="220"/>
      <c r="I41" s="61"/>
      <c r="J41" s="75"/>
      <c r="K41" s="75"/>
      <c r="L41" s="60"/>
      <c r="M41" s="225"/>
      <c r="N41" s="60"/>
      <c r="O41" s="60"/>
      <c r="P41" s="61"/>
      <c r="Q41" s="60"/>
      <c r="R41" s="225"/>
      <c r="S41" s="60"/>
    </row>
    <row r="42" spans="1:19" x14ac:dyDescent="0.25">
      <c r="A42" s="415" t="s">
        <v>62</v>
      </c>
      <c r="B42" s="416"/>
      <c r="C42" s="417"/>
      <c r="D42" s="416"/>
      <c r="E42" s="75"/>
      <c r="F42" s="75"/>
      <c r="G42" s="75"/>
      <c r="H42" s="220"/>
      <c r="I42" s="61"/>
      <c r="J42" s="75"/>
      <c r="K42" s="75"/>
      <c r="L42" s="60"/>
      <c r="M42" s="225"/>
      <c r="N42" s="60"/>
      <c r="O42" s="60"/>
      <c r="P42" s="61"/>
      <c r="Q42" s="60"/>
      <c r="R42" s="225"/>
      <c r="S42" s="60"/>
    </row>
    <row r="43" spans="1:19" x14ac:dyDescent="0.25">
      <c r="A43" s="415" t="s">
        <v>63</v>
      </c>
      <c r="B43" s="416"/>
      <c r="C43" s="417"/>
      <c r="D43" s="416"/>
      <c r="E43" s="75"/>
      <c r="F43" s="75"/>
      <c r="G43" s="75"/>
      <c r="H43" s="220"/>
      <c r="I43" s="61"/>
      <c r="J43" s="75"/>
      <c r="K43" s="75"/>
      <c r="L43" s="60"/>
      <c r="M43" s="225"/>
      <c r="N43" s="60"/>
      <c r="O43" s="60"/>
      <c r="P43" s="61"/>
      <c r="Q43" s="60"/>
      <c r="R43" s="225"/>
      <c r="S43" s="60"/>
    </row>
    <row r="44" spans="1:19" s="19" customFormat="1" ht="14.25" x14ac:dyDescent="0.2">
      <c r="A44" s="419" t="s">
        <v>256</v>
      </c>
      <c r="B44" s="416"/>
      <c r="C44" s="417"/>
      <c r="D44" s="416"/>
      <c r="E44" s="420"/>
      <c r="F44" s="420"/>
      <c r="G44" s="179"/>
      <c r="H44" s="421"/>
      <c r="I44" s="416"/>
      <c r="J44" s="420"/>
      <c r="K44" s="420"/>
      <c r="L44" s="358"/>
      <c r="M44" s="422"/>
      <c r="N44" s="358"/>
      <c r="O44" s="358"/>
      <c r="P44" s="416"/>
      <c r="Q44" s="358"/>
      <c r="R44" s="422"/>
      <c r="S44" s="358"/>
    </row>
    <row r="45" spans="1:19" x14ac:dyDescent="0.25">
      <c r="A45" s="415" t="s">
        <v>64</v>
      </c>
      <c r="B45" s="416"/>
      <c r="C45" s="417"/>
      <c r="D45" s="416"/>
      <c r="E45" s="75"/>
      <c r="F45" s="75"/>
      <c r="G45" s="75"/>
      <c r="H45" s="220"/>
      <c r="I45" s="61"/>
      <c r="J45" s="75"/>
      <c r="K45" s="75"/>
      <c r="L45" s="60"/>
      <c r="M45" s="225"/>
      <c r="N45" s="60"/>
      <c r="O45" s="60"/>
      <c r="P45" s="61"/>
      <c r="Q45" s="60"/>
      <c r="R45" s="225"/>
      <c r="S45" s="60"/>
    </row>
    <row r="46" spans="1:19" x14ac:dyDescent="0.25">
      <c r="A46" s="415" t="s">
        <v>65</v>
      </c>
      <c r="B46" s="416"/>
      <c r="C46" s="417"/>
      <c r="D46" s="416"/>
      <c r="E46" s="75"/>
      <c r="F46" s="75"/>
      <c r="G46" s="75"/>
      <c r="H46" s="220"/>
      <c r="I46" s="61"/>
      <c r="J46" s="75"/>
      <c r="K46" s="75"/>
      <c r="L46" s="60"/>
      <c r="M46" s="225"/>
      <c r="N46" s="60"/>
      <c r="O46" s="60"/>
      <c r="P46" s="61"/>
      <c r="Q46" s="60"/>
      <c r="R46" s="225"/>
      <c r="S46" s="60"/>
    </row>
    <row r="47" spans="1:19" x14ac:dyDescent="0.25">
      <c r="A47" s="415" t="s">
        <v>1225</v>
      </c>
      <c r="B47" s="416"/>
      <c r="C47" s="417"/>
      <c r="D47" s="416"/>
      <c r="E47" s="75"/>
      <c r="F47" s="75"/>
      <c r="G47" s="75"/>
      <c r="H47" s="220"/>
      <c r="I47" s="61"/>
      <c r="J47" s="75"/>
      <c r="K47" s="75"/>
      <c r="L47" s="60"/>
      <c r="M47" s="225"/>
      <c r="N47" s="60"/>
      <c r="O47" s="60"/>
      <c r="P47" s="61"/>
      <c r="Q47" s="60"/>
      <c r="R47" s="225"/>
      <c r="S47" s="60"/>
    </row>
    <row r="48" spans="1:19" x14ac:dyDescent="0.25">
      <c r="A48" s="415" t="s">
        <v>812</v>
      </c>
      <c r="B48" s="416"/>
      <c r="C48" s="417"/>
      <c r="D48" s="416"/>
      <c r="E48" s="75"/>
      <c r="F48" s="75"/>
      <c r="G48" s="75"/>
      <c r="H48" s="220"/>
      <c r="I48" s="61"/>
      <c r="J48" s="75"/>
      <c r="K48" s="179"/>
      <c r="L48" s="60"/>
      <c r="M48" s="225"/>
      <c r="N48" s="60"/>
      <c r="O48" s="60"/>
      <c r="P48" s="61"/>
      <c r="Q48" s="60"/>
      <c r="R48" s="225"/>
      <c r="S48" s="60"/>
    </row>
    <row r="49" spans="1:21" s="19" customFormat="1" ht="14.25" x14ac:dyDescent="0.2">
      <c r="A49" s="66" t="s">
        <v>96</v>
      </c>
      <c r="B49" s="65">
        <f>SUM(B50:B72)</f>
        <v>0</v>
      </c>
      <c r="C49" s="74" t="e">
        <f>SUM(C50:C73)</f>
        <v>#REF!</v>
      </c>
      <c r="D49" s="65">
        <f>SUM(D50:D70)</f>
        <v>0</v>
      </c>
      <c r="E49" s="74">
        <f>SUM(E50:E73)</f>
        <v>0</v>
      </c>
      <c r="F49" s="74" t="e">
        <f>SUM(F50:F72)</f>
        <v>#REF!</v>
      </c>
      <c r="G49" s="74">
        <f>SUM(G50:G73)</f>
        <v>0</v>
      </c>
      <c r="H49" s="219">
        <f>SUM(H50:H70)</f>
        <v>0</v>
      </c>
      <c r="I49" s="65">
        <f>SUM(I50:I73)</f>
        <v>275782.94900000002</v>
      </c>
      <c r="J49" s="74">
        <f>SUM(J50:J72)</f>
        <v>0</v>
      </c>
      <c r="K49" s="74">
        <f>SUM(K50:K70)</f>
        <v>0</v>
      </c>
      <c r="L49" s="64">
        <f>SUM(L50:L70)</f>
        <v>0</v>
      </c>
      <c r="M49" s="183" t="e">
        <f>SUM(M50:M71)</f>
        <v>#REF!</v>
      </c>
      <c r="N49" s="64">
        <f t="shared" ref="N49:S49" si="4">SUM(N50:N73)</f>
        <v>0</v>
      </c>
      <c r="O49" s="64">
        <f t="shared" si="4"/>
        <v>0</v>
      </c>
      <c r="P49" s="65" t="e">
        <f t="shared" si="4"/>
        <v>#REF!</v>
      </c>
      <c r="Q49" s="64">
        <f t="shared" si="4"/>
        <v>0</v>
      </c>
      <c r="R49" s="183">
        <f t="shared" si="4"/>
        <v>0</v>
      </c>
      <c r="S49" s="64">
        <f t="shared" si="4"/>
        <v>0</v>
      </c>
    </row>
    <row r="50" spans="1:21" x14ac:dyDescent="0.25">
      <c r="A50" s="521" t="s">
        <v>95</v>
      </c>
      <c r="B50" s="61"/>
      <c r="C50" s="82">
        <v>17450.144</v>
      </c>
      <c r="D50" s="61"/>
      <c r="E50" s="75"/>
      <c r="F50" s="75">
        <v>180710.133</v>
      </c>
      <c r="G50" s="75"/>
      <c r="H50" s="220"/>
      <c r="I50" s="61">
        <v>3281.0419999999999</v>
      </c>
      <c r="J50" s="75"/>
      <c r="K50" s="75"/>
      <c r="L50" s="60"/>
      <c r="M50" s="225">
        <v>3796.5039999999999</v>
      </c>
      <c r="N50" s="60"/>
      <c r="O50" s="60"/>
      <c r="P50" s="61">
        <v>805.02499999999998</v>
      </c>
      <c r="Q50" s="60"/>
      <c r="R50" s="225"/>
      <c r="S50" s="60"/>
      <c r="U50" s="707"/>
    </row>
    <row r="51" spans="1:21" x14ac:dyDescent="0.25">
      <c r="A51" s="521" t="s">
        <v>94</v>
      </c>
      <c r="B51" s="61"/>
      <c r="C51" s="82">
        <v>38821.294999999998</v>
      </c>
      <c r="D51" s="61"/>
      <c r="E51" s="75"/>
      <c r="F51" s="75">
        <f>114545.929+38522.239</f>
        <v>153068.16800000001</v>
      </c>
      <c r="G51" s="75"/>
      <c r="H51" s="220"/>
      <c r="I51" s="61">
        <v>13809.953</v>
      </c>
      <c r="J51" s="75"/>
      <c r="K51" s="75"/>
      <c r="L51" s="60"/>
      <c r="M51" s="225">
        <v>5097.6779999999999</v>
      </c>
      <c r="N51" s="60"/>
      <c r="O51" s="60"/>
      <c r="P51" s="61">
        <v>4041.4810000000002</v>
      </c>
      <c r="Q51" s="60"/>
      <c r="R51" s="225"/>
      <c r="S51" s="60"/>
      <c r="U51" s="762"/>
    </row>
    <row r="52" spans="1:21" x14ac:dyDescent="0.25">
      <c r="A52" s="415" t="s">
        <v>127</v>
      </c>
      <c r="B52" s="61"/>
      <c r="C52" s="82"/>
      <c r="D52" s="61"/>
      <c r="E52" s="75"/>
      <c r="F52" s="75"/>
      <c r="G52" s="75"/>
      <c r="H52" s="220"/>
      <c r="I52" s="61"/>
      <c r="J52" s="75"/>
      <c r="K52" s="75"/>
      <c r="L52" s="60"/>
      <c r="M52" s="225"/>
      <c r="N52" s="60"/>
      <c r="O52" s="60"/>
      <c r="P52" s="61"/>
      <c r="Q52" s="60"/>
      <c r="R52" s="225"/>
      <c r="S52" s="60"/>
    </row>
    <row r="53" spans="1:21" x14ac:dyDescent="0.25">
      <c r="A53" s="415" t="s">
        <v>93</v>
      </c>
      <c r="B53" s="61"/>
      <c r="C53" s="82"/>
      <c r="D53" s="61"/>
      <c r="E53" s="75"/>
      <c r="F53" s="75" t="e">
        <f>#REF!</f>
        <v>#REF!</v>
      </c>
      <c r="G53" s="75"/>
      <c r="H53" s="220"/>
      <c r="I53" s="61">
        <f>STA!F16</f>
        <v>14589.796</v>
      </c>
      <c r="J53" s="75"/>
      <c r="K53" s="75"/>
      <c r="L53" s="60"/>
      <c r="M53" s="225"/>
      <c r="N53" s="60"/>
      <c r="O53" s="60"/>
      <c r="P53" s="61"/>
      <c r="Q53" s="60"/>
      <c r="R53" s="225"/>
      <c r="S53" s="60"/>
    </row>
    <row r="54" spans="1:21" x14ac:dyDescent="0.25">
      <c r="A54" s="415" t="s">
        <v>92</v>
      </c>
      <c r="B54" s="61"/>
      <c r="C54" s="82"/>
      <c r="D54" s="61"/>
      <c r="E54" s="75"/>
      <c r="F54" s="75"/>
      <c r="G54" s="75"/>
      <c r="H54" s="220"/>
      <c r="I54" s="61"/>
      <c r="J54" s="75"/>
      <c r="K54" s="75"/>
      <c r="L54" s="60"/>
      <c r="M54" s="225"/>
      <c r="N54" s="60"/>
      <c r="O54" s="60"/>
      <c r="P54" s="61"/>
      <c r="Q54" s="60"/>
      <c r="R54" s="225"/>
      <c r="S54" s="60"/>
    </row>
    <row r="55" spans="1:21" x14ac:dyDescent="0.25">
      <c r="A55" s="415" t="s">
        <v>188</v>
      </c>
      <c r="B55" s="61"/>
      <c r="C55" s="82"/>
      <c r="D55" s="61"/>
      <c r="E55" s="261"/>
      <c r="F55" s="75"/>
      <c r="G55" s="75"/>
      <c r="H55" s="220"/>
      <c r="I55" s="61"/>
      <c r="J55" s="75"/>
      <c r="K55" s="75"/>
      <c r="L55" s="60"/>
      <c r="M55" s="225"/>
      <c r="N55" s="60"/>
      <c r="O55" s="60"/>
      <c r="P55" s="61"/>
      <c r="Q55" s="60"/>
      <c r="R55" s="225"/>
      <c r="S55" s="60"/>
    </row>
    <row r="56" spans="1:21" x14ac:dyDescent="0.25">
      <c r="A56" s="678" t="s">
        <v>596</v>
      </c>
      <c r="B56" s="61"/>
      <c r="C56" s="82"/>
      <c r="D56" s="61"/>
      <c r="E56" s="261"/>
      <c r="F56" s="75">
        <v>0</v>
      </c>
      <c r="G56" s="75"/>
      <c r="H56" s="220"/>
      <c r="I56" s="61"/>
      <c r="J56" s="75"/>
      <c r="K56" s="75"/>
      <c r="L56" s="60"/>
      <c r="M56" s="225"/>
      <c r="N56" s="60"/>
      <c r="O56" s="60"/>
      <c r="P56" s="61"/>
      <c r="Q56" s="60"/>
      <c r="R56" s="225"/>
      <c r="S56" s="60"/>
    </row>
    <row r="57" spans="1:21" x14ac:dyDescent="0.25">
      <c r="A57" s="678" t="s">
        <v>822</v>
      </c>
      <c r="B57" s="61"/>
      <c r="C57" s="82"/>
      <c r="D57" s="61"/>
      <c r="E57" s="261"/>
      <c r="F57" s="75"/>
      <c r="G57" s="75"/>
      <c r="H57" s="220"/>
      <c r="I57" s="61"/>
      <c r="J57" s="75"/>
      <c r="K57" s="75"/>
      <c r="L57" s="60"/>
      <c r="M57" s="225"/>
      <c r="N57" s="60"/>
      <c r="O57" s="60"/>
      <c r="P57" s="61"/>
      <c r="Q57" s="60"/>
      <c r="R57" s="225"/>
      <c r="S57" s="60"/>
    </row>
    <row r="58" spans="1:21" x14ac:dyDescent="0.25">
      <c r="A58" s="678" t="s">
        <v>577</v>
      </c>
      <c r="B58" s="61"/>
      <c r="C58" s="82"/>
      <c r="D58" s="61"/>
      <c r="E58" s="261"/>
      <c r="F58" s="75"/>
      <c r="G58" s="75"/>
      <c r="H58" s="220"/>
      <c r="I58" s="61"/>
      <c r="J58" s="75"/>
      <c r="K58" s="75"/>
      <c r="L58" s="60"/>
      <c r="M58" s="225"/>
      <c r="N58" s="60"/>
      <c r="O58" s="60"/>
      <c r="P58" s="61"/>
      <c r="Q58" s="60"/>
      <c r="R58" s="225"/>
      <c r="S58" s="60"/>
    </row>
    <row r="59" spans="1:21" x14ac:dyDescent="0.25">
      <c r="A59" s="678" t="s">
        <v>823</v>
      </c>
      <c r="B59" s="61"/>
      <c r="C59" s="82"/>
      <c r="D59" s="61"/>
      <c r="E59" s="261"/>
      <c r="F59" s="75"/>
      <c r="G59" s="75"/>
      <c r="H59" s="220"/>
      <c r="I59" s="61"/>
      <c r="J59" s="75"/>
      <c r="K59" s="75"/>
      <c r="L59" s="60"/>
      <c r="M59" s="225"/>
      <c r="N59" s="60"/>
      <c r="O59" s="60"/>
      <c r="P59" s="61"/>
      <c r="Q59" s="60"/>
      <c r="R59" s="225"/>
      <c r="S59" s="60"/>
    </row>
    <row r="60" spans="1:21" x14ac:dyDescent="0.25">
      <c r="A60" s="678" t="s">
        <v>824</v>
      </c>
      <c r="B60" s="61"/>
      <c r="C60" s="82"/>
      <c r="D60" s="61"/>
      <c r="E60" s="261"/>
      <c r="F60" s="75"/>
      <c r="G60" s="75"/>
      <c r="H60" s="220"/>
      <c r="I60" s="61"/>
      <c r="J60" s="75"/>
      <c r="K60" s="75"/>
      <c r="L60" s="60"/>
      <c r="M60" s="225"/>
      <c r="N60" s="60"/>
      <c r="O60" s="60"/>
      <c r="P60" s="61"/>
      <c r="Q60" s="60"/>
      <c r="R60" s="225"/>
      <c r="S60" s="60"/>
    </row>
    <row r="61" spans="1:21" x14ac:dyDescent="0.25">
      <c r="A61" s="415" t="s">
        <v>91</v>
      </c>
      <c r="B61" s="61"/>
      <c r="C61" s="82"/>
      <c r="D61" s="61"/>
      <c r="E61" s="75"/>
      <c r="F61" s="75"/>
      <c r="G61" s="75"/>
      <c r="H61" s="220"/>
      <c r="I61" s="61"/>
      <c r="J61" s="75"/>
      <c r="K61" s="75"/>
      <c r="L61" s="60"/>
      <c r="M61" s="225"/>
      <c r="N61" s="60"/>
      <c r="O61" s="60"/>
      <c r="P61" s="61"/>
      <c r="Q61" s="60"/>
      <c r="R61" s="225"/>
      <c r="S61" s="60"/>
    </row>
    <row r="62" spans="1:21" s="19" customFormat="1" x14ac:dyDescent="0.25">
      <c r="A62" s="415" t="s">
        <v>46</v>
      </c>
      <c r="B62" s="61"/>
      <c r="C62" s="82"/>
      <c r="D62" s="61"/>
      <c r="E62" s="179"/>
      <c r="F62" s="179" t="e">
        <f>#REF!+#REF!+#REF!+#REF!+#REF!+#REF!</f>
        <v>#REF!</v>
      </c>
      <c r="G62" s="75"/>
      <c r="H62" s="220"/>
      <c r="I62" s="61"/>
      <c r="J62" s="75"/>
      <c r="K62" s="75"/>
      <c r="L62" s="60"/>
      <c r="M62" s="818" t="e">
        <f>#REF!</f>
        <v>#REF!</v>
      </c>
      <c r="N62" s="502"/>
      <c r="O62" s="502"/>
      <c r="P62" s="259" t="e">
        <f>#REF!</f>
        <v>#REF!</v>
      </c>
      <c r="Q62" s="60"/>
      <c r="R62" s="225"/>
      <c r="S62" s="60"/>
    </row>
    <row r="63" spans="1:21" s="19" customFormat="1" x14ac:dyDescent="0.25">
      <c r="A63" s="415" t="s">
        <v>90</v>
      </c>
      <c r="B63" s="61"/>
      <c r="C63" s="82"/>
      <c r="D63" s="61"/>
      <c r="E63" s="75"/>
      <c r="F63" s="420"/>
      <c r="G63" s="75"/>
      <c r="H63" s="220"/>
      <c r="I63" s="61"/>
      <c r="J63" s="75"/>
      <c r="K63" s="75"/>
      <c r="L63" s="60"/>
      <c r="M63" s="818"/>
      <c r="N63" s="502"/>
      <c r="O63" s="502"/>
      <c r="P63" s="259"/>
      <c r="Q63" s="60"/>
      <c r="R63" s="225"/>
      <c r="S63" s="60"/>
    </row>
    <row r="64" spans="1:21" x14ac:dyDescent="0.25">
      <c r="A64" s="415" t="s">
        <v>45</v>
      </c>
      <c r="B64" s="61"/>
      <c r="C64" s="82">
        <v>265000</v>
      </c>
      <c r="D64" s="61"/>
      <c r="E64" s="75"/>
      <c r="F64" s="420"/>
      <c r="G64" s="75"/>
      <c r="H64" s="220"/>
      <c r="I64" s="259">
        <f>STA!F20</f>
        <v>91083.679000000004</v>
      </c>
      <c r="J64" s="75"/>
      <c r="K64" s="75"/>
      <c r="L64" s="60"/>
      <c r="M64" s="818" t="e">
        <f>#REF!+#REF!</f>
        <v>#REF!</v>
      </c>
      <c r="N64" s="502"/>
      <c r="O64" s="502"/>
      <c r="P64" s="259" t="e">
        <f>#REF!+#REF!</f>
        <v>#REF!</v>
      </c>
      <c r="Q64" s="60"/>
      <c r="R64" s="225"/>
      <c r="S64" s="60"/>
    </row>
    <row r="65" spans="1:19" x14ac:dyDescent="0.25">
      <c r="A65" s="415" t="s">
        <v>128</v>
      </c>
      <c r="B65" s="61"/>
      <c r="C65" s="82"/>
      <c r="D65" s="61"/>
      <c r="E65" s="75"/>
      <c r="F65" s="179"/>
      <c r="G65" s="179"/>
      <c r="H65" s="309"/>
      <c r="I65" s="259"/>
      <c r="J65" s="75"/>
      <c r="K65" s="203"/>
      <c r="L65" s="502"/>
      <c r="M65" s="818"/>
      <c r="N65" s="502"/>
      <c r="O65" s="502"/>
      <c r="P65" s="259"/>
      <c r="Q65" s="60"/>
      <c r="R65" s="225"/>
      <c r="S65" s="60"/>
    </row>
    <row r="66" spans="1:19" x14ac:dyDescent="0.25">
      <c r="A66" s="415" t="s">
        <v>118</v>
      </c>
      <c r="B66" s="61"/>
      <c r="C66" s="82"/>
      <c r="D66" s="61"/>
      <c r="E66" s="75"/>
      <c r="F66" s="179"/>
      <c r="G66" s="75"/>
      <c r="H66" s="220"/>
      <c r="I66" s="259"/>
      <c r="J66" s="75"/>
      <c r="K66" s="75"/>
      <c r="L66" s="60"/>
      <c r="M66" s="225"/>
      <c r="N66" s="60"/>
      <c r="O66" s="60"/>
      <c r="P66" s="61"/>
      <c r="Q66" s="60"/>
      <c r="R66" s="225"/>
      <c r="S66" s="60"/>
    </row>
    <row r="67" spans="1:19" x14ac:dyDescent="0.25">
      <c r="A67" s="415" t="s">
        <v>117</v>
      </c>
      <c r="B67" s="61"/>
      <c r="C67" s="82"/>
      <c r="D67" s="61"/>
      <c r="E67" s="75"/>
      <c r="F67" s="179"/>
      <c r="G67" s="75"/>
      <c r="H67" s="220"/>
      <c r="I67" s="259"/>
      <c r="J67" s="75"/>
      <c r="K67" s="75"/>
      <c r="L67" s="60"/>
      <c r="M67" s="225"/>
      <c r="N67" s="60"/>
      <c r="O67" s="60"/>
      <c r="P67" s="61"/>
      <c r="Q67" s="60"/>
      <c r="R67" s="225"/>
      <c r="S67" s="60"/>
    </row>
    <row r="68" spans="1:19" x14ac:dyDescent="0.25">
      <c r="A68" s="415" t="s">
        <v>603</v>
      </c>
      <c r="B68" s="61"/>
      <c r="C68" s="82"/>
      <c r="D68" s="61"/>
      <c r="E68" s="75"/>
      <c r="F68" s="179" t="e">
        <f>#REF!</f>
        <v>#REF!</v>
      </c>
      <c r="G68" s="75"/>
      <c r="H68" s="220"/>
      <c r="I68" s="259">
        <f>STA!F23</f>
        <v>60682.353999999999</v>
      </c>
      <c r="J68" s="75"/>
      <c r="K68" s="75"/>
      <c r="L68" s="60"/>
      <c r="M68" s="225"/>
      <c r="N68" s="60"/>
      <c r="O68" s="60"/>
      <c r="P68" s="61"/>
      <c r="Q68" s="60"/>
      <c r="R68" s="225"/>
      <c r="S68" s="60"/>
    </row>
    <row r="69" spans="1:19" x14ac:dyDescent="0.25">
      <c r="A69" s="415" t="s">
        <v>111</v>
      </c>
      <c r="B69" s="61"/>
      <c r="C69" s="82"/>
      <c r="D69" s="61"/>
      <c r="E69" s="261"/>
      <c r="F69" s="179" t="e">
        <f>#REF!</f>
        <v>#REF!</v>
      </c>
      <c r="G69" s="75"/>
      <c r="H69" s="220"/>
      <c r="I69" s="61"/>
      <c r="J69" s="75"/>
      <c r="K69" s="75"/>
      <c r="L69" s="60"/>
      <c r="M69" s="225"/>
      <c r="N69" s="60"/>
      <c r="O69" s="60"/>
      <c r="P69" s="61"/>
      <c r="Q69" s="60"/>
      <c r="R69" s="225"/>
      <c r="S69" s="60"/>
    </row>
    <row r="70" spans="1:19" x14ac:dyDescent="0.25">
      <c r="A70" s="415" t="s">
        <v>89</v>
      </c>
      <c r="B70" s="61"/>
      <c r="C70" s="82" t="e">
        <f>#REF!+#REF!+#REF!+#REF!+#REF!+#REF!+#REF!+#REF!</f>
        <v>#REF!</v>
      </c>
      <c r="D70" s="61"/>
      <c r="E70" s="75"/>
      <c r="F70" s="75" t="e">
        <f>#REF!+#REF!+#REF!+#REF!+#REF!+#REF!+#REF!+#REF!+#REF!+#REF!+#REF!+#REF!+#REF!+#REF!+#REF!+#REF!+#REF!+#REF!+#REF!+#REF!+#REF!+#REF!+#REF!+#REF!+#REF!+#REF!+#REF!+#REF!+#REF!+#REF!+#REF!+#REF!+#REF!+#REF!</f>
        <v>#REF!</v>
      </c>
      <c r="G70" s="75"/>
      <c r="H70" s="220"/>
      <c r="I70" s="61">
        <f>STA!F14+STA!F15+STA!F17+STA!F18+STA!F19+STA!F21+STA!F22+STA!F24</f>
        <v>92336.125</v>
      </c>
      <c r="J70" s="75"/>
      <c r="K70" s="75"/>
      <c r="L70" s="60"/>
      <c r="M70" s="225"/>
      <c r="N70" s="60"/>
      <c r="O70" s="60"/>
      <c r="P70" s="61"/>
      <c r="Q70" s="60"/>
      <c r="R70" s="225"/>
      <c r="S70" s="60"/>
    </row>
    <row r="71" spans="1:19" x14ac:dyDescent="0.25">
      <c r="A71" s="415" t="s">
        <v>498</v>
      </c>
      <c r="B71" s="61"/>
      <c r="C71" s="82"/>
      <c r="D71" s="61"/>
      <c r="E71" s="75"/>
      <c r="F71" s="75"/>
      <c r="G71" s="75"/>
      <c r="H71" s="220"/>
      <c r="I71" s="61"/>
      <c r="J71" s="75"/>
      <c r="K71" s="75"/>
      <c r="L71" s="60"/>
      <c r="M71" s="225"/>
      <c r="N71" s="60"/>
      <c r="O71" s="60"/>
      <c r="P71" s="61"/>
      <c r="Q71" s="60"/>
      <c r="R71" s="225"/>
      <c r="S71" s="60"/>
    </row>
    <row r="72" spans="1:19" x14ac:dyDescent="0.25">
      <c r="A72" s="415" t="s">
        <v>119</v>
      </c>
      <c r="B72" s="61"/>
      <c r="C72" s="82"/>
      <c r="D72" s="61"/>
      <c r="E72" s="75"/>
      <c r="F72" s="179"/>
      <c r="G72" s="179"/>
      <c r="H72" s="220"/>
      <c r="I72" s="61"/>
      <c r="J72" s="75"/>
      <c r="K72" s="75"/>
      <c r="L72" s="60"/>
      <c r="M72" s="225"/>
      <c r="N72" s="358"/>
      <c r="O72" s="60"/>
      <c r="P72" s="61"/>
      <c r="Q72" s="60"/>
      <c r="R72" s="225"/>
      <c r="S72" s="60"/>
    </row>
    <row r="73" spans="1:19" x14ac:dyDescent="0.25">
      <c r="A73" s="415" t="s">
        <v>116</v>
      </c>
      <c r="B73" s="61"/>
      <c r="C73" s="417"/>
      <c r="D73" s="61"/>
      <c r="E73" s="75"/>
      <c r="F73" s="75"/>
      <c r="G73" s="75"/>
      <c r="H73" s="220"/>
      <c r="I73" s="61"/>
      <c r="J73" s="75"/>
      <c r="K73" s="75"/>
      <c r="L73" s="60"/>
      <c r="M73" s="225"/>
      <c r="N73" s="60"/>
      <c r="O73" s="60"/>
      <c r="P73" s="61"/>
      <c r="Q73" s="60"/>
      <c r="R73" s="225"/>
      <c r="S73" s="60"/>
    </row>
    <row r="74" spans="1:19" s="19" customFormat="1" ht="14.25" x14ac:dyDescent="0.2">
      <c r="A74" s="24" t="s">
        <v>66</v>
      </c>
      <c r="B74" s="63">
        <f>SUM(B75:B78)</f>
        <v>0</v>
      </c>
      <c r="C74" s="73">
        <f>SUM(C75:C78)</f>
        <v>0</v>
      </c>
      <c r="D74" s="63">
        <f t="shared" ref="D74:S74" si="5">SUM(D75:D78)</f>
        <v>0</v>
      </c>
      <c r="E74" s="73">
        <f t="shared" si="5"/>
        <v>0</v>
      </c>
      <c r="F74" s="73">
        <f t="shared" si="5"/>
        <v>33977.709111111086</v>
      </c>
      <c r="G74" s="73">
        <f t="shared" si="5"/>
        <v>0</v>
      </c>
      <c r="H74" s="215">
        <f t="shared" si="5"/>
        <v>0</v>
      </c>
      <c r="I74" s="63">
        <f t="shared" si="5"/>
        <v>0</v>
      </c>
      <c r="J74" s="73">
        <f t="shared" si="5"/>
        <v>0</v>
      </c>
      <c r="K74" s="73">
        <f t="shared" si="5"/>
        <v>0</v>
      </c>
      <c r="L74" s="62">
        <f t="shared" si="5"/>
        <v>0</v>
      </c>
      <c r="M74" s="223">
        <f t="shared" si="5"/>
        <v>0</v>
      </c>
      <c r="N74" s="62">
        <f t="shared" si="5"/>
        <v>0</v>
      </c>
      <c r="O74" s="62">
        <f t="shared" si="5"/>
        <v>0</v>
      </c>
      <c r="P74" s="63">
        <f t="shared" si="5"/>
        <v>0</v>
      </c>
      <c r="Q74" s="62">
        <f t="shared" si="5"/>
        <v>0</v>
      </c>
      <c r="R74" s="223">
        <f t="shared" si="5"/>
        <v>0</v>
      </c>
      <c r="S74" s="62">
        <f t="shared" si="5"/>
        <v>0</v>
      </c>
    </row>
    <row r="75" spans="1:19" x14ac:dyDescent="0.25">
      <c r="A75" s="415" t="s">
        <v>88</v>
      </c>
      <c r="B75" s="61"/>
      <c r="C75" s="82"/>
      <c r="D75" s="61"/>
      <c r="E75" s="75"/>
      <c r="F75" s="75">
        <f>+CMT!G43</f>
        <v>33977.709111111086</v>
      </c>
      <c r="G75" s="75"/>
      <c r="H75" s="220"/>
      <c r="I75" s="61"/>
      <c r="J75" s="75"/>
      <c r="K75" s="75"/>
      <c r="L75" s="60"/>
      <c r="M75" s="225"/>
      <c r="N75" s="60"/>
      <c r="O75" s="60"/>
      <c r="P75" s="61"/>
      <c r="Q75" s="60"/>
      <c r="R75" s="225"/>
      <c r="S75" s="60"/>
    </row>
    <row r="76" spans="1:19" x14ac:dyDescent="0.25">
      <c r="A76" s="415" t="s">
        <v>251</v>
      </c>
      <c r="B76" s="61"/>
      <c r="C76" s="82"/>
      <c r="D76" s="61"/>
      <c r="E76" s="75"/>
      <c r="F76" s="75"/>
      <c r="G76" s="75"/>
      <c r="H76" s="220"/>
      <c r="I76" s="61"/>
      <c r="J76" s="75"/>
      <c r="K76" s="75"/>
      <c r="L76" s="60"/>
      <c r="M76" s="225"/>
      <c r="N76" s="60"/>
      <c r="O76" s="60"/>
      <c r="P76" s="61"/>
      <c r="Q76" s="60"/>
      <c r="R76" s="225"/>
      <c r="S76" s="60"/>
    </row>
    <row r="77" spans="1:19" x14ac:dyDescent="0.25">
      <c r="A77" s="415" t="s">
        <v>694</v>
      </c>
      <c r="B77" s="61"/>
      <c r="C77" s="82"/>
      <c r="D77" s="61"/>
      <c r="E77" s="75"/>
      <c r="F77" s="75"/>
      <c r="G77" s="75"/>
      <c r="H77" s="220"/>
      <c r="I77" s="61"/>
      <c r="J77" s="75"/>
      <c r="K77" s="75"/>
      <c r="L77" s="60"/>
      <c r="M77" s="225"/>
      <c r="N77" s="60"/>
      <c r="O77" s="60"/>
      <c r="P77" s="61"/>
      <c r="Q77" s="60"/>
      <c r="R77" s="225"/>
      <c r="S77" s="60"/>
    </row>
    <row r="78" spans="1:19" x14ac:dyDescent="0.25">
      <c r="A78" s="415" t="s">
        <v>570</v>
      </c>
      <c r="B78" s="61"/>
      <c r="C78" s="82"/>
      <c r="D78" s="61"/>
      <c r="E78" s="75"/>
      <c r="F78" s="75"/>
      <c r="G78" s="75"/>
      <c r="H78" s="220"/>
      <c r="I78" s="61"/>
      <c r="J78" s="75"/>
      <c r="K78" s="75"/>
      <c r="L78" s="60"/>
      <c r="M78" s="225"/>
      <c r="N78" s="60"/>
      <c r="O78" s="60"/>
      <c r="P78" s="61"/>
      <c r="Q78" s="60"/>
      <c r="R78" s="225"/>
      <c r="S78" s="60"/>
    </row>
    <row r="79" spans="1:19" s="22" customFormat="1" x14ac:dyDescent="0.25">
      <c r="A79" s="25" t="s">
        <v>684</v>
      </c>
      <c r="B79" s="76">
        <f t="shared" ref="B79:Q79" si="6">B3+B4+B9-B33</f>
        <v>689.31799999999998</v>
      </c>
      <c r="C79" s="78" t="e">
        <f t="shared" si="6"/>
        <v>#REF!</v>
      </c>
      <c r="D79" s="76">
        <f t="shared" si="6"/>
        <v>1220.4549999999999</v>
      </c>
      <c r="E79" s="78">
        <f>E3+E4+E9-E33</f>
        <v>18350.237000000001</v>
      </c>
      <c r="F79" s="78" t="e">
        <f t="shared" si="6"/>
        <v>#REF!</v>
      </c>
      <c r="G79" s="78">
        <f t="shared" si="6"/>
        <v>205663.50999999998</v>
      </c>
      <c r="H79" s="212">
        <f t="shared" si="6"/>
        <v>3699.41</v>
      </c>
      <c r="I79" s="76" t="e">
        <f t="shared" si="6"/>
        <v>#REF!</v>
      </c>
      <c r="J79" s="78">
        <f t="shared" si="6"/>
        <v>11587.395</v>
      </c>
      <c r="K79" s="78">
        <f t="shared" si="6"/>
        <v>6694.08</v>
      </c>
      <c r="L79" s="77">
        <f t="shared" si="6"/>
        <v>3595.27</v>
      </c>
      <c r="M79" s="226" t="e">
        <f t="shared" si="6"/>
        <v>#REF!</v>
      </c>
      <c r="N79" s="77">
        <f t="shared" si="6"/>
        <v>4744.8100000000004</v>
      </c>
      <c r="O79" s="77">
        <f t="shared" si="6"/>
        <v>10132.26</v>
      </c>
      <c r="P79" s="76" t="e">
        <f t="shared" si="6"/>
        <v>#REF!</v>
      </c>
      <c r="Q79" s="77">
        <f t="shared" si="6"/>
        <v>12614.17</v>
      </c>
      <c r="R79" s="226">
        <f>R3+R4+R9-R33</f>
        <v>4993.1909999999998</v>
      </c>
      <c r="S79" s="77">
        <f>S3+S4+S9-S33</f>
        <v>306.06900000000002</v>
      </c>
    </row>
    <row r="80" spans="1:19" s="22" customFormat="1" ht="15.75" thickBot="1" x14ac:dyDescent="0.3">
      <c r="A80" s="423" t="s">
        <v>67</v>
      </c>
      <c r="B80" s="59">
        <v>0</v>
      </c>
      <c r="C80" s="79">
        <v>-300000</v>
      </c>
      <c r="D80" s="59">
        <v>0</v>
      </c>
      <c r="E80" s="79">
        <v>0</v>
      </c>
      <c r="F80" s="79">
        <v>-2000000</v>
      </c>
      <c r="G80" s="79">
        <v>0</v>
      </c>
      <c r="H80" s="221">
        <v>0</v>
      </c>
      <c r="I80" s="59">
        <v>0</v>
      </c>
      <c r="J80" s="79">
        <v>0</v>
      </c>
      <c r="K80" s="79">
        <v>0</v>
      </c>
      <c r="L80" s="58">
        <v>0</v>
      </c>
      <c r="M80" s="227">
        <v>0</v>
      </c>
      <c r="N80" s="58">
        <v>0</v>
      </c>
      <c r="O80" s="58">
        <v>0</v>
      </c>
      <c r="P80" s="59">
        <v>0</v>
      </c>
      <c r="Q80" s="58">
        <v>0</v>
      </c>
      <c r="R80" s="227">
        <v>0</v>
      </c>
      <c r="S80" s="58">
        <v>0</v>
      </c>
    </row>
    <row r="82" spans="2:12" s="424" customFormat="1" ht="14.25" x14ac:dyDescent="0.2">
      <c r="B82" s="172"/>
      <c r="C82" s="172" t="e">
        <f>C80-C79</f>
        <v>#REF!</v>
      </c>
      <c r="D82" s="172"/>
      <c r="E82" s="172"/>
      <c r="F82" s="172" t="e">
        <f>F80-F79</f>
        <v>#REF!</v>
      </c>
      <c r="G82" s="172"/>
      <c r="H82" s="172"/>
      <c r="I82" s="172" t="e">
        <f>I80-I79</f>
        <v>#REF!</v>
      </c>
      <c r="J82" s="172"/>
      <c r="K82" s="172"/>
      <c r="L82" s="172"/>
    </row>
    <row r="83" spans="2:12" s="424" customFormat="1" ht="14.25" x14ac:dyDescent="0.2"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2:12" s="171" customFormat="1" x14ac:dyDescent="0.25">
      <c r="B84" s="172"/>
      <c r="C84" s="172"/>
      <c r="D84" s="172"/>
      <c r="E84" s="172"/>
      <c r="F84" s="172"/>
      <c r="G84" s="170"/>
      <c r="H84" s="170"/>
      <c r="I84" s="170"/>
      <c r="J84" s="170"/>
      <c r="K84" s="170"/>
      <c r="L84" s="170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49" orientation="landscape" horizontalDpi="180" verticalDpi="180" r:id="rId1"/>
  <ignoredErrors>
    <ignoredError sqref="D49:J49 D9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O79"/>
  <sheetViews>
    <sheetView topLeftCell="A19" zoomScale="90" zoomScaleNormal="90" workbookViewId="0">
      <selection activeCell="W27" sqref="W27"/>
    </sheetView>
  </sheetViews>
  <sheetFormatPr baseColWidth="10" defaultRowHeight="12.75" x14ac:dyDescent="0.2"/>
  <cols>
    <col min="1" max="1" width="17" style="15" bestFit="1" customWidth="1"/>
    <col min="2" max="2" width="10.28515625" style="15" bestFit="1" customWidth="1"/>
    <col min="3" max="3" width="11.85546875" style="15" bestFit="1" customWidth="1"/>
    <col min="4" max="4" width="10.5703125" style="187" bestFit="1" customWidth="1"/>
    <col min="5" max="5" width="15.42578125" style="15" bestFit="1" customWidth="1"/>
    <col min="6" max="6" width="11.42578125" style="15" bestFit="1" customWidth="1"/>
    <col min="7" max="7" width="6.140625" style="15" bestFit="1" customWidth="1"/>
    <col min="8" max="12" width="11.42578125" style="15"/>
    <col min="13" max="13" width="11" style="15" bestFit="1" customWidth="1"/>
    <col min="14" max="16384" width="11.42578125" style="15"/>
  </cols>
  <sheetData>
    <row r="1" spans="1:12" x14ac:dyDescent="0.2">
      <c r="A1" s="26">
        <f ca="1">TODAY()</f>
        <v>45668</v>
      </c>
    </row>
    <row r="2" spans="1:12" x14ac:dyDescent="0.2">
      <c r="A2" s="15" t="s">
        <v>68</v>
      </c>
      <c r="C2" s="26">
        <v>43465</v>
      </c>
      <c r="D2" s="513">
        <v>3.4272</v>
      </c>
    </row>
    <row r="3" spans="1:12" x14ac:dyDescent="0.2">
      <c r="A3" s="15" t="s">
        <v>69</v>
      </c>
      <c r="C3" s="26">
        <v>43465</v>
      </c>
      <c r="D3" s="513">
        <v>2.9944000000000002</v>
      </c>
      <c r="I3" s="359"/>
    </row>
    <row r="4" spans="1:12" x14ac:dyDescent="0.2">
      <c r="A4" s="15" t="s">
        <v>70</v>
      </c>
      <c r="C4" s="26">
        <v>43465</v>
      </c>
      <c r="D4" s="513">
        <v>3.8309000000000002</v>
      </c>
      <c r="I4" s="588"/>
    </row>
    <row r="5" spans="1:12" ht="13.5" thickBot="1" x14ac:dyDescent="0.25">
      <c r="A5" s="15" t="s">
        <v>191</v>
      </c>
      <c r="C5" s="26">
        <v>43465</v>
      </c>
      <c r="D5" s="513">
        <v>0.43530000000000002</v>
      </c>
    </row>
    <row r="6" spans="1:12" ht="13.5" thickBot="1" x14ac:dyDescent="0.25">
      <c r="A6" s="965" t="s">
        <v>71</v>
      </c>
      <c r="B6" s="966"/>
      <c r="C6" s="966"/>
      <c r="D6" s="966"/>
      <c r="E6" s="966"/>
      <c r="F6" s="967"/>
    </row>
    <row r="7" spans="1:12" ht="13.5" thickBot="1" x14ac:dyDescent="0.25">
      <c r="A7" s="704" t="s">
        <v>72</v>
      </c>
      <c r="B7" s="439" t="s">
        <v>73</v>
      </c>
      <c r="C7" s="439" t="s">
        <v>74</v>
      </c>
      <c r="D7" s="188" t="s">
        <v>75</v>
      </c>
      <c r="E7" s="439" t="s">
        <v>3</v>
      </c>
      <c r="F7" s="705" t="s">
        <v>766</v>
      </c>
    </row>
    <row r="8" spans="1:12" ht="13.5" thickBot="1" x14ac:dyDescent="0.25">
      <c r="A8" s="297" t="s">
        <v>173</v>
      </c>
      <c r="B8" s="298" t="s">
        <v>16</v>
      </c>
      <c r="C8" s="443">
        <v>161190</v>
      </c>
      <c r="D8" s="300">
        <f>+C8*D2</f>
        <v>552430.36800000002</v>
      </c>
      <c r="E8" s="443">
        <f>12000+12000+12000+12000+12000+12000+12000+7000</f>
        <v>91000</v>
      </c>
      <c r="F8" s="103">
        <f>+C8-E8</f>
        <v>70190</v>
      </c>
    </row>
    <row r="9" spans="1:12" ht="13.5" thickBot="1" x14ac:dyDescent="0.25">
      <c r="A9" s="957" t="s">
        <v>76</v>
      </c>
      <c r="B9" s="958"/>
      <c r="C9" s="202">
        <f>SUM(C8:C8)</f>
        <v>161190</v>
      </c>
    </row>
    <row r="10" spans="1:12" ht="13.5" thickBot="1" x14ac:dyDescent="0.25">
      <c r="A10" s="194"/>
      <c r="B10" s="194"/>
      <c r="C10" s="182"/>
    </row>
    <row r="11" spans="1:12" ht="13.5" thickBot="1" x14ac:dyDescent="0.25">
      <c r="A11" s="297"/>
      <c r="B11" s="298"/>
      <c r="C11" s="299"/>
      <c r="D11" s="300"/>
      <c r="E11" s="301"/>
      <c r="F11" s="692"/>
      <c r="G11" s="38"/>
    </row>
    <row r="12" spans="1:12" ht="13.5" thickBot="1" x14ac:dyDescent="0.25">
      <c r="A12" s="965" t="s">
        <v>76</v>
      </c>
      <c r="B12" s="966"/>
      <c r="C12" s="103">
        <f>SUM(C11:C11)</f>
        <v>0</v>
      </c>
      <c r="D12" s="190"/>
      <c r="E12" s="27"/>
      <c r="F12" s="27"/>
    </row>
    <row r="13" spans="1:12" ht="13.5" thickBot="1" x14ac:dyDescent="0.25"/>
    <row r="14" spans="1:12" ht="13.5" thickBot="1" x14ac:dyDescent="0.25">
      <c r="A14" s="297"/>
      <c r="B14" s="298"/>
      <c r="C14" s="299"/>
      <c r="D14" s="300"/>
      <c r="E14" s="301"/>
      <c r="F14" s="692"/>
      <c r="G14" s="38"/>
    </row>
    <row r="15" spans="1:12" ht="13.5" thickBot="1" x14ac:dyDescent="0.25">
      <c r="A15" s="965" t="s">
        <v>76</v>
      </c>
      <c r="B15" s="966"/>
      <c r="C15" s="103">
        <f>SUM(C14:C14)</f>
        <v>0</v>
      </c>
      <c r="D15" s="190"/>
      <c r="E15" s="27"/>
      <c r="F15" s="27"/>
      <c r="L15" s="359"/>
    </row>
    <row r="16" spans="1:12" ht="13.5" thickBot="1" x14ac:dyDescent="0.25"/>
    <row r="17" spans="1:15" ht="13.5" thickBot="1" x14ac:dyDescent="0.25">
      <c r="A17" s="297"/>
      <c r="B17" s="298"/>
      <c r="C17" s="299"/>
      <c r="D17" s="300"/>
      <c r="E17" s="301"/>
      <c r="F17" s="692"/>
    </row>
    <row r="18" spans="1:15" ht="13.5" thickBot="1" x14ac:dyDescent="0.25">
      <c r="A18" s="965" t="s">
        <v>76</v>
      </c>
      <c r="B18" s="966"/>
      <c r="C18" s="103">
        <f>SUM(C17:C17)</f>
        <v>0</v>
      </c>
      <c r="D18" s="190"/>
      <c r="E18" s="27"/>
      <c r="F18" s="27"/>
      <c r="O18" s="180"/>
    </row>
    <row r="19" spans="1:15" ht="13.5" thickBot="1" x14ac:dyDescent="0.25"/>
    <row r="20" spans="1:15" ht="13.5" thickBot="1" x14ac:dyDescent="0.25">
      <c r="A20" s="965" t="s">
        <v>77</v>
      </c>
      <c r="B20" s="966"/>
      <c r="C20" s="966"/>
      <c r="D20" s="966"/>
      <c r="E20" s="966"/>
      <c r="F20" s="967"/>
    </row>
    <row r="21" spans="1:15" x14ac:dyDescent="0.2">
      <c r="A21" s="764" t="s">
        <v>919</v>
      </c>
      <c r="B21" s="765" t="s">
        <v>16</v>
      </c>
      <c r="C21" s="766">
        <v>20775.240000000002</v>
      </c>
      <c r="D21" s="767">
        <f t="shared" ref="D21:D31" si="0">+C21*$D$2</f>
        <v>71200.902528000006</v>
      </c>
      <c r="E21" s="768">
        <v>43719</v>
      </c>
      <c r="F21" s="769">
        <f t="shared" ref="F21:F31" si="1">E21+90</f>
        <v>43809</v>
      </c>
      <c r="H21" s="26"/>
      <c r="L21" s="359"/>
    </row>
    <row r="22" spans="1:15" x14ac:dyDescent="0.2">
      <c r="A22" s="724" t="s">
        <v>960</v>
      </c>
      <c r="B22" s="725" t="s">
        <v>16</v>
      </c>
      <c r="C22" s="786">
        <v>69983.59</v>
      </c>
      <c r="D22" s="727">
        <f t="shared" si="0"/>
        <v>239847.75964799998</v>
      </c>
      <c r="E22" s="728">
        <v>43726</v>
      </c>
      <c r="F22" s="729">
        <f t="shared" si="1"/>
        <v>43816</v>
      </c>
      <c r="H22" s="26"/>
      <c r="L22" s="359"/>
    </row>
    <row r="23" spans="1:15" x14ac:dyDescent="0.2">
      <c r="A23" s="724" t="s">
        <v>1019</v>
      </c>
      <c r="B23" s="725" t="s">
        <v>16</v>
      </c>
      <c r="C23" s="786">
        <v>38957.93</v>
      </c>
      <c r="D23" s="727">
        <f t="shared" si="0"/>
        <v>133516.617696</v>
      </c>
      <c r="E23" s="728">
        <v>43734</v>
      </c>
      <c r="F23" s="729">
        <f t="shared" si="1"/>
        <v>43824</v>
      </c>
      <c r="H23" s="26"/>
      <c r="L23" s="359"/>
    </row>
    <row r="24" spans="1:15" x14ac:dyDescent="0.2">
      <c r="A24" s="724" t="s">
        <v>1020</v>
      </c>
      <c r="B24" s="725" t="s">
        <v>16</v>
      </c>
      <c r="C24" s="786">
        <v>24659.51</v>
      </c>
      <c r="D24" s="727">
        <f t="shared" si="0"/>
        <v>84513.072671999995</v>
      </c>
      <c r="E24" s="728">
        <v>43741</v>
      </c>
      <c r="F24" s="729">
        <f t="shared" si="1"/>
        <v>43831</v>
      </c>
      <c r="H24" s="26"/>
      <c r="L24" s="359"/>
    </row>
    <row r="25" spans="1:15" x14ac:dyDescent="0.2">
      <c r="A25" s="724" t="s">
        <v>1021</v>
      </c>
      <c r="B25" s="725" t="s">
        <v>16</v>
      </c>
      <c r="C25" s="786">
        <v>19095.96</v>
      </c>
      <c r="D25" s="727">
        <f t="shared" si="0"/>
        <v>65445.674112000001</v>
      </c>
      <c r="E25" s="728">
        <v>43746</v>
      </c>
      <c r="F25" s="729">
        <f t="shared" si="1"/>
        <v>43836</v>
      </c>
      <c r="H25" s="26"/>
      <c r="L25" s="359"/>
    </row>
    <row r="26" spans="1:15" x14ac:dyDescent="0.2">
      <c r="A26" s="724" t="s">
        <v>1022</v>
      </c>
      <c r="B26" s="725" t="s">
        <v>16</v>
      </c>
      <c r="C26" s="786">
        <v>20131.099999999999</v>
      </c>
      <c r="D26" s="727">
        <f t="shared" si="0"/>
        <v>68993.305919999999</v>
      </c>
      <c r="E26" s="728">
        <v>43768</v>
      </c>
      <c r="F26" s="729">
        <f t="shared" si="1"/>
        <v>43858</v>
      </c>
      <c r="H26" s="26"/>
      <c r="L26" s="359"/>
    </row>
    <row r="27" spans="1:15" x14ac:dyDescent="0.2">
      <c r="A27" s="724" t="s">
        <v>1090</v>
      </c>
      <c r="B27" s="725" t="s">
        <v>16</v>
      </c>
      <c r="C27" s="726">
        <v>38013.65</v>
      </c>
      <c r="D27" s="727">
        <f t="shared" si="0"/>
        <v>130280.38128</v>
      </c>
      <c r="E27" s="728">
        <v>43777</v>
      </c>
      <c r="F27" s="729">
        <f t="shared" si="1"/>
        <v>43867</v>
      </c>
      <c r="H27" s="26"/>
      <c r="L27" s="359"/>
    </row>
    <row r="28" spans="1:15" x14ac:dyDescent="0.2">
      <c r="A28" s="724" t="s">
        <v>1091</v>
      </c>
      <c r="B28" s="725" t="s">
        <v>16</v>
      </c>
      <c r="C28" s="726">
        <v>23066.68</v>
      </c>
      <c r="D28" s="727">
        <f t="shared" si="0"/>
        <v>79054.125696000003</v>
      </c>
      <c r="E28" s="728">
        <v>43782</v>
      </c>
      <c r="F28" s="729">
        <f t="shared" si="1"/>
        <v>43872</v>
      </c>
      <c r="H28" s="26"/>
      <c r="K28" s="26"/>
      <c r="L28" s="359"/>
    </row>
    <row r="29" spans="1:15" x14ac:dyDescent="0.2">
      <c r="A29" s="724" t="s">
        <v>1148</v>
      </c>
      <c r="B29" s="725" t="s">
        <v>16</v>
      </c>
      <c r="C29" s="726">
        <v>30949.26</v>
      </c>
      <c r="D29" s="727">
        <f t="shared" si="0"/>
        <v>106069.30387199999</v>
      </c>
      <c r="E29" s="728">
        <v>43783</v>
      </c>
      <c r="F29" s="729">
        <f t="shared" si="1"/>
        <v>43873</v>
      </c>
      <c r="H29" s="26"/>
      <c r="K29" s="26"/>
      <c r="L29" s="359"/>
    </row>
    <row r="30" spans="1:15" x14ac:dyDescent="0.2">
      <c r="A30" s="724" t="s">
        <v>1239</v>
      </c>
      <c r="B30" s="725" t="s">
        <v>16</v>
      </c>
      <c r="C30" s="726">
        <v>26286.31</v>
      </c>
      <c r="D30" s="727">
        <f t="shared" si="0"/>
        <v>90088.441632000002</v>
      </c>
      <c r="E30" s="728">
        <v>43797</v>
      </c>
      <c r="F30" s="729">
        <f t="shared" si="1"/>
        <v>43887</v>
      </c>
      <c r="H30" s="26"/>
      <c r="K30" s="26"/>
      <c r="L30" s="359"/>
    </row>
    <row r="31" spans="1:15" x14ac:dyDescent="0.2">
      <c r="A31" s="724" t="s">
        <v>1326</v>
      </c>
      <c r="B31" s="725" t="s">
        <v>16</v>
      </c>
      <c r="C31" s="726">
        <v>47478.9</v>
      </c>
      <c r="D31" s="727">
        <f t="shared" si="0"/>
        <v>162719.68608000001</v>
      </c>
      <c r="E31" s="728">
        <v>43804</v>
      </c>
      <c r="F31" s="729">
        <f t="shared" si="1"/>
        <v>43894</v>
      </c>
      <c r="H31" s="26"/>
      <c r="K31" s="26"/>
      <c r="L31" s="359"/>
    </row>
    <row r="32" spans="1:15" ht="13.5" thickBot="1" x14ac:dyDescent="0.25">
      <c r="A32" s="137"/>
      <c r="B32" s="176"/>
      <c r="C32" s="138"/>
      <c r="D32" s="191"/>
      <c r="E32" s="306"/>
      <c r="F32" s="307"/>
      <c r="H32" s="26"/>
      <c r="K32" s="26"/>
      <c r="L32" s="359"/>
    </row>
    <row r="33" spans="1:12" ht="13.5" thickBot="1" x14ac:dyDescent="0.25">
      <c r="A33" s="965" t="s">
        <v>76</v>
      </c>
      <c r="B33" s="966"/>
      <c r="C33" s="103">
        <f>SUM(C21:C32)</f>
        <v>359398.13</v>
      </c>
      <c r="D33" s="190"/>
      <c r="E33" s="27"/>
      <c r="F33" s="27"/>
    </row>
    <row r="34" spans="1:12" ht="13.5" thickBot="1" x14ac:dyDescent="0.25">
      <c r="A34" s="194"/>
      <c r="B34" s="194"/>
      <c r="C34" s="182"/>
      <c r="D34" s="192"/>
      <c r="E34" s="193"/>
      <c r="F34" s="193"/>
    </row>
    <row r="35" spans="1:12" ht="13.5" thickBot="1" x14ac:dyDescent="0.25">
      <c r="A35" s="297"/>
      <c r="B35" s="298"/>
      <c r="C35" s="299"/>
      <c r="D35" s="300"/>
      <c r="E35" s="301"/>
      <c r="F35" s="692"/>
    </row>
    <row r="36" spans="1:12" ht="13.5" thickBot="1" x14ac:dyDescent="0.25">
      <c r="A36" s="965" t="s">
        <v>76</v>
      </c>
      <c r="B36" s="966"/>
      <c r="C36" s="103">
        <f>SUM(C35:C35)</f>
        <v>0</v>
      </c>
      <c r="D36" s="190"/>
      <c r="E36" s="27"/>
      <c r="F36" s="27"/>
    </row>
    <row r="37" spans="1:12" x14ac:dyDescent="0.2">
      <c r="A37" s="194"/>
      <c r="B37" s="194"/>
      <c r="C37" s="182"/>
      <c r="D37" s="192"/>
      <c r="E37" s="193"/>
      <c r="F37" s="193"/>
    </row>
    <row r="38" spans="1:12" ht="13.5" thickBot="1" x14ac:dyDescent="0.25">
      <c r="A38" s="718" t="s">
        <v>916</v>
      </c>
      <c r="B38" s="719" t="s">
        <v>16</v>
      </c>
      <c r="C38" s="720">
        <v>16029.42</v>
      </c>
      <c r="D38" s="721">
        <f>+C38*D2</f>
        <v>54936.028224000002</v>
      </c>
      <c r="E38" s="722">
        <v>43741</v>
      </c>
      <c r="F38" s="723">
        <f>+E38+90</f>
        <v>43831</v>
      </c>
      <c r="J38" s="708"/>
    </row>
    <row r="39" spans="1:12" ht="13.5" thickBot="1" x14ac:dyDescent="0.25">
      <c r="A39" s="965" t="s">
        <v>76</v>
      </c>
      <c r="B39" s="966"/>
      <c r="C39" s="103">
        <f>SUM(C38)</f>
        <v>16029.42</v>
      </c>
      <c r="D39" s="190"/>
      <c r="E39" s="27"/>
      <c r="F39" s="27"/>
      <c r="J39" s="708"/>
    </row>
    <row r="40" spans="1:12" ht="13.5" thickBot="1" x14ac:dyDescent="0.25">
      <c r="A40" s="194"/>
      <c r="B40" s="194"/>
      <c r="C40" s="182"/>
      <c r="D40" s="192"/>
      <c r="E40" s="193"/>
      <c r="F40" s="193"/>
    </row>
    <row r="41" spans="1:12" ht="13.5" thickBot="1" x14ac:dyDescent="0.25">
      <c r="A41" s="776" t="s">
        <v>551</v>
      </c>
      <c r="B41" s="777" t="s">
        <v>16</v>
      </c>
      <c r="C41" s="778">
        <v>48091.48</v>
      </c>
      <c r="D41" s="779">
        <f>+C41*D2</f>
        <v>164819.12025600002</v>
      </c>
      <c r="E41" s="780">
        <v>43755</v>
      </c>
      <c r="F41" s="781">
        <f>+E41+90</f>
        <v>43845</v>
      </c>
    </row>
    <row r="42" spans="1:12" ht="13.5" thickBot="1" x14ac:dyDescent="0.25">
      <c r="A42" s="965" t="s">
        <v>76</v>
      </c>
      <c r="B42" s="966"/>
      <c r="C42" s="103">
        <f>SUM(C41)</f>
        <v>48091.48</v>
      </c>
      <c r="D42" s="190"/>
      <c r="E42" s="27"/>
      <c r="F42" s="27"/>
      <c r="L42" s="360"/>
    </row>
    <row r="43" spans="1:12" ht="13.5" thickBot="1" x14ac:dyDescent="0.25">
      <c r="A43" s="374"/>
      <c r="B43" s="374"/>
      <c r="C43" s="375"/>
      <c r="D43" s="192"/>
      <c r="E43" s="193"/>
      <c r="F43" s="193"/>
      <c r="L43" s="359"/>
    </row>
    <row r="44" spans="1:12" ht="13.5" thickBot="1" x14ac:dyDescent="0.25">
      <c r="A44" s="229"/>
      <c r="B44" s="30"/>
      <c r="C44" s="230"/>
      <c r="D44" s="231"/>
      <c r="E44" s="305"/>
      <c r="F44" s="589"/>
      <c r="I44" s="588"/>
    </row>
    <row r="45" spans="1:12" ht="13.5" thickBot="1" x14ac:dyDescent="0.25">
      <c r="A45" s="965" t="s">
        <v>76</v>
      </c>
      <c r="B45" s="966"/>
      <c r="C45" s="103">
        <f>SUM(C44:C44)</f>
        <v>0</v>
      </c>
      <c r="D45" s="190"/>
      <c r="E45" s="27"/>
      <c r="F45" s="27"/>
      <c r="L45" s="360"/>
    </row>
    <row r="46" spans="1:12" ht="13.5" thickBot="1" x14ac:dyDescent="0.25">
      <c r="A46" s="374"/>
      <c r="B46" s="374"/>
      <c r="C46" s="375"/>
      <c r="D46" s="192"/>
      <c r="E46" s="193"/>
      <c r="F46" s="193"/>
      <c r="L46" s="359"/>
    </row>
    <row r="47" spans="1:12" ht="13.5" thickBot="1" x14ac:dyDescent="0.25">
      <c r="A47" s="770" t="s">
        <v>1023</v>
      </c>
      <c r="B47" s="771" t="s">
        <v>16</v>
      </c>
      <c r="C47" s="772">
        <v>5626.54</v>
      </c>
      <c r="D47" s="773">
        <f>+C47*D2</f>
        <v>19283.277888000001</v>
      </c>
      <c r="E47" s="774">
        <v>43756</v>
      </c>
      <c r="F47" s="775">
        <f>+E47+30</f>
        <v>43786</v>
      </c>
    </row>
    <row r="48" spans="1:12" ht="13.5" thickBot="1" x14ac:dyDescent="0.25">
      <c r="A48" s="965" t="s">
        <v>76</v>
      </c>
      <c r="B48" s="966"/>
      <c r="C48" s="103">
        <f>SUM(C47:C47)</f>
        <v>5626.54</v>
      </c>
      <c r="D48" s="190"/>
      <c r="E48" s="27"/>
      <c r="F48" s="27"/>
    </row>
    <row r="49" spans="1:10" ht="13.5" thickBot="1" x14ac:dyDescent="0.25">
      <c r="A49" s="194"/>
      <c r="B49" s="194"/>
      <c r="C49" s="182"/>
      <c r="D49" s="192"/>
      <c r="E49" s="193"/>
      <c r="F49" s="193"/>
    </row>
    <row r="50" spans="1:10" ht="13.5" thickBot="1" x14ac:dyDescent="0.25">
      <c r="A50" s="297"/>
      <c r="B50" s="298"/>
      <c r="C50" s="299"/>
      <c r="D50" s="299"/>
      <c r="E50" s="301"/>
      <c r="F50" s="538"/>
    </row>
    <row r="51" spans="1:10" ht="13.5" thickBot="1" x14ac:dyDescent="0.25">
      <c r="A51" s="957" t="s">
        <v>76</v>
      </c>
      <c r="B51" s="958"/>
      <c r="C51" s="202">
        <f>SUM(C50:C50)</f>
        <v>0</v>
      </c>
    </row>
    <row r="52" spans="1:10" ht="13.5" thickBot="1" x14ac:dyDescent="0.25"/>
    <row r="53" spans="1:10" ht="13.5" thickBot="1" x14ac:dyDescent="0.25">
      <c r="A53" s="297"/>
      <c r="B53" s="298"/>
      <c r="C53" s="299"/>
      <c r="D53" s="299"/>
      <c r="E53" s="298"/>
      <c r="F53" s="706"/>
    </row>
    <row r="54" spans="1:10" ht="13.5" thickBot="1" x14ac:dyDescent="0.25">
      <c r="A54" s="957" t="s">
        <v>76</v>
      </c>
      <c r="B54" s="958"/>
      <c r="C54" s="202">
        <f>SUM(C53:C53)</f>
        <v>0</v>
      </c>
    </row>
    <row r="55" spans="1:10" ht="13.5" thickBot="1" x14ac:dyDescent="0.25"/>
    <row r="56" spans="1:10" x14ac:dyDescent="0.2">
      <c r="A56" s="229"/>
      <c r="B56" s="30"/>
      <c r="C56" s="230"/>
      <c r="D56" s="231"/>
      <c r="E56" s="246"/>
      <c r="F56" s="248"/>
    </row>
    <row r="57" spans="1:10" x14ac:dyDescent="0.2">
      <c r="A57" s="181"/>
      <c r="B57" s="195"/>
      <c r="C57" s="196"/>
      <c r="D57" s="189"/>
      <c r="E57" s="247"/>
      <c r="F57" s="249"/>
    </row>
    <row r="58" spans="1:10" ht="13.5" thickBot="1" x14ac:dyDescent="0.25">
      <c r="A58" s="137"/>
      <c r="B58" s="176"/>
      <c r="C58" s="138"/>
      <c r="D58" s="191"/>
      <c r="E58" s="176"/>
      <c r="F58" s="186"/>
    </row>
    <row r="59" spans="1:10" ht="13.5" thickBot="1" x14ac:dyDescent="0.25">
      <c r="A59" s="957" t="s">
        <v>76</v>
      </c>
      <c r="B59" s="958"/>
      <c r="C59" s="202">
        <f>SUM(C56:C58)</f>
        <v>0</v>
      </c>
      <c r="I59" s="180"/>
    </row>
    <row r="60" spans="1:10" ht="13.5" thickBot="1" x14ac:dyDescent="0.25"/>
    <row r="61" spans="1:10" x14ac:dyDescent="0.2">
      <c r="A61" s="959" t="s">
        <v>173</v>
      </c>
      <c r="B61" s="962" t="s">
        <v>16</v>
      </c>
      <c r="C61" s="954">
        <v>335000</v>
      </c>
      <c r="D61" s="231"/>
      <c r="E61" s="305">
        <v>42898</v>
      </c>
      <c r="F61" s="242">
        <v>71000</v>
      </c>
      <c r="J61" s="180"/>
    </row>
    <row r="62" spans="1:10" x14ac:dyDescent="0.2">
      <c r="A62" s="960"/>
      <c r="B62" s="963"/>
      <c r="C62" s="955"/>
      <c r="D62" s="189"/>
      <c r="E62" s="353">
        <v>42927</v>
      </c>
      <c r="F62" s="243">
        <v>40000</v>
      </c>
    </row>
    <row r="63" spans="1:10" x14ac:dyDescent="0.2">
      <c r="A63" s="960"/>
      <c r="B63" s="963"/>
      <c r="C63" s="955"/>
      <c r="D63" s="189"/>
      <c r="E63" s="353">
        <v>43004</v>
      </c>
      <c r="F63" s="243">
        <v>15000</v>
      </c>
    </row>
    <row r="64" spans="1:10" x14ac:dyDescent="0.2">
      <c r="A64" s="960"/>
      <c r="B64" s="963"/>
      <c r="C64" s="955"/>
      <c r="D64" s="189"/>
      <c r="E64" s="353">
        <v>43006</v>
      </c>
      <c r="F64" s="243">
        <v>16000</v>
      </c>
    </row>
    <row r="65" spans="1:10" x14ac:dyDescent="0.2">
      <c r="A65" s="960"/>
      <c r="B65" s="963"/>
      <c r="C65" s="955"/>
      <c r="D65" s="189"/>
      <c r="E65" s="353">
        <v>43020</v>
      </c>
      <c r="F65" s="243">
        <v>25000</v>
      </c>
    </row>
    <row r="66" spans="1:10" x14ac:dyDescent="0.2">
      <c r="A66" s="961"/>
      <c r="B66" s="964"/>
      <c r="C66" s="956"/>
      <c r="D66" s="189"/>
      <c r="E66" s="353">
        <v>43208</v>
      </c>
      <c r="F66" s="243">
        <v>45000</v>
      </c>
    </row>
    <row r="67" spans="1:10" x14ac:dyDescent="0.2">
      <c r="A67" s="181" t="s">
        <v>173</v>
      </c>
      <c r="B67" s="195" t="s">
        <v>16</v>
      </c>
      <c r="C67" s="196">
        <f>65000+9000</f>
        <v>74000</v>
      </c>
      <c r="D67" s="189"/>
      <c r="E67" s="353">
        <v>43189</v>
      </c>
      <c r="F67" s="243">
        <v>59500</v>
      </c>
      <c r="J67" s="180"/>
    </row>
    <row r="68" spans="1:10" x14ac:dyDescent="0.2">
      <c r="A68" s="181"/>
      <c r="B68" s="195"/>
      <c r="C68" s="196"/>
      <c r="D68" s="189"/>
      <c r="E68" s="353"/>
      <c r="F68" s="243"/>
    </row>
    <row r="69" spans="1:10" ht="13.5" thickBot="1" x14ac:dyDescent="0.25">
      <c r="A69" s="137" t="s">
        <v>173</v>
      </c>
      <c r="B69" s="176" t="s">
        <v>16</v>
      </c>
      <c r="C69" s="138">
        <f>14477.06+837.73</f>
        <v>15314.789999999999</v>
      </c>
      <c r="D69" s="191"/>
      <c r="E69" s="306"/>
      <c r="F69" s="186"/>
      <c r="H69" s="180"/>
      <c r="I69" s="180"/>
    </row>
    <row r="70" spans="1:10" ht="13.5" thickBot="1" x14ac:dyDescent="0.25">
      <c r="A70" s="957" t="s">
        <v>76</v>
      </c>
      <c r="B70" s="958"/>
      <c r="C70" s="202">
        <f>SUM(C61:C69)</f>
        <v>424314.79</v>
      </c>
      <c r="F70" s="180"/>
      <c r="H70" s="180"/>
      <c r="I70" s="180"/>
    </row>
    <row r="71" spans="1:10" ht="13.5" thickBot="1" x14ac:dyDescent="0.25">
      <c r="F71" s="180"/>
    </row>
    <row r="72" spans="1:10" ht="13.5" thickBot="1" x14ac:dyDescent="0.25">
      <c r="A72" s="297" t="s">
        <v>624</v>
      </c>
      <c r="B72" s="298" t="s">
        <v>16</v>
      </c>
      <c r="C72" s="299">
        <v>67500</v>
      </c>
      <c r="D72" s="300"/>
      <c r="E72" s="301">
        <v>43074</v>
      </c>
      <c r="F72" s="354">
        <v>12000</v>
      </c>
    </row>
    <row r="73" spans="1:10" ht="13.5" thickBot="1" x14ac:dyDescent="0.25">
      <c r="A73" s="957" t="s">
        <v>76</v>
      </c>
      <c r="B73" s="958"/>
      <c r="C73" s="202">
        <f>SUM(C72:C72)</f>
        <v>67500</v>
      </c>
    </row>
    <row r="74" spans="1:10" ht="13.5" thickBot="1" x14ac:dyDescent="0.25"/>
    <row r="75" spans="1:10" ht="13.5" thickBot="1" x14ac:dyDescent="0.25">
      <c r="A75" s="297"/>
      <c r="B75" s="298"/>
      <c r="C75" s="299"/>
      <c r="D75" s="300"/>
      <c r="E75" s="301"/>
      <c r="F75" s="538"/>
    </row>
    <row r="76" spans="1:10" ht="13.5" thickBot="1" x14ac:dyDescent="0.25">
      <c r="A76" s="957" t="s">
        <v>76</v>
      </c>
      <c r="B76" s="958"/>
      <c r="C76" s="202">
        <f>SUM(C75:C75)</f>
        <v>0</v>
      </c>
    </row>
    <row r="77" spans="1:10" ht="13.5" thickBot="1" x14ac:dyDescent="0.25"/>
    <row r="78" spans="1:10" ht="13.5" thickBot="1" x14ac:dyDescent="0.25">
      <c r="A78" s="297"/>
      <c r="B78" s="298"/>
      <c r="C78" s="299"/>
      <c r="D78" s="300"/>
      <c r="E78" s="301"/>
      <c r="F78" s="354"/>
    </row>
    <row r="79" spans="1:10" ht="13.5" thickBot="1" x14ac:dyDescent="0.25">
      <c r="A79" s="957" t="s">
        <v>76</v>
      </c>
      <c r="B79" s="958"/>
      <c r="C79" s="202">
        <f>SUM(C78:C78)</f>
        <v>0</v>
      </c>
    </row>
  </sheetData>
  <sortState xmlns:xlrd2="http://schemas.microsoft.com/office/spreadsheetml/2017/richdata2" ref="A40:F42">
    <sortCondition ref="F40:F42"/>
  </sortState>
  <mergeCells count="22">
    <mergeCell ref="A6:F6"/>
    <mergeCell ref="A20:F20"/>
    <mergeCell ref="A33:B33"/>
    <mergeCell ref="A9:B9"/>
    <mergeCell ref="A54:B54"/>
    <mergeCell ref="A36:B36"/>
    <mergeCell ref="A48:B48"/>
    <mergeCell ref="A12:B12"/>
    <mergeCell ref="A15:B15"/>
    <mergeCell ref="A39:B39"/>
    <mergeCell ref="A42:B42"/>
    <mergeCell ref="A45:B45"/>
    <mergeCell ref="A18:B18"/>
    <mergeCell ref="C61:C66"/>
    <mergeCell ref="A79:B79"/>
    <mergeCell ref="A51:B51"/>
    <mergeCell ref="A70:B70"/>
    <mergeCell ref="A59:B59"/>
    <mergeCell ref="A61:A66"/>
    <mergeCell ref="A76:B76"/>
    <mergeCell ref="A73:B73"/>
    <mergeCell ref="B61:B66"/>
  </mergeCells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>
    <pageSetUpPr fitToPage="1"/>
  </sheetPr>
  <dimension ref="B1:N45"/>
  <sheetViews>
    <sheetView topLeftCell="A10" zoomScaleNormal="100" workbookViewId="0">
      <selection activeCell="F39" sqref="F39"/>
    </sheetView>
  </sheetViews>
  <sheetFormatPr baseColWidth="10" defaultColWidth="11.42578125" defaultRowHeight="12.75" x14ac:dyDescent="0.2"/>
  <cols>
    <col min="1" max="1" width="11.42578125" style="322"/>
    <col min="2" max="3" width="11.140625" style="322" customWidth="1"/>
    <col min="4" max="6" width="11.140625" style="334" customWidth="1"/>
    <col min="7" max="9" width="11.140625" style="321" customWidth="1"/>
    <col min="10" max="10" width="14" style="322" bestFit="1" customWidth="1"/>
    <col min="11" max="11" width="11.85546875" style="322" bestFit="1" customWidth="1"/>
    <col min="12" max="12" width="3.85546875" style="322" bestFit="1" customWidth="1"/>
    <col min="13" max="13" width="13.28515625" style="322" bestFit="1" customWidth="1"/>
    <col min="14" max="14" width="9" style="322" bestFit="1" customWidth="1"/>
    <col min="15" max="16384" width="11.42578125" style="322"/>
  </cols>
  <sheetData>
    <row r="1" spans="2:14" x14ac:dyDescent="0.2">
      <c r="G1" s="322"/>
      <c r="H1" s="322"/>
      <c r="I1" s="322"/>
    </row>
    <row r="2" spans="2:14" x14ac:dyDescent="0.2">
      <c r="B2" s="968" t="s">
        <v>110</v>
      </c>
      <c r="C2" s="968"/>
      <c r="D2" s="968"/>
      <c r="E2" s="968"/>
      <c r="F2" s="968"/>
      <c r="G2" s="968"/>
      <c r="H2" s="968"/>
      <c r="I2" s="968"/>
    </row>
    <row r="3" spans="2:14" x14ac:dyDescent="0.2">
      <c r="B3" s="968" t="s">
        <v>626</v>
      </c>
      <c r="C3" s="968"/>
      <c r="D3" s="968"/>
      <c r="E3" s="968"/>
      <c r="F3" s="968"/>
      <c r="G3" s="968"/>
      <c r="H3" s="968"/>
      <c r="I3" s="968"/>
    </row>
    <row r="4" spans="2:14" ht="13.5" thickBot="1" x14ac:dyDescent="0.25"/>
    <row r="5" spans="2:14" ht="13.5" thickBot="1" x14ac:dyDescent="0.25">
      <c r="B5" s="976" t="s">
        <v>109</v>
      </c>
      <c r="C5" s="977"/>
      <c r="D5" s="323" t="s">
        <v>10</v>
      </c>
      <c r="E5" s="324" t="s">
        <v>108</v>
      </c>
      <c r="F5" s="324" t="s">
        <v>107</v>
      </c>
      <c r="G5" s="324" t="s">
        <v>106</v>
      </c>
      <c r="H5" s="325" t="s">
        <v>105</v>
      </c>
      <c r="I5" s="326" t="s">
        <v>104</v>
      </c>
    </row>
    <row r="6" spans="2:14" x14ac:dyDescent="0.2">
      <c r="B6" s="514" t="s">
        <v>112</v>
      </c>
      <c r="C6" s="515">
        <v>1488000</v>
      </c>
      <c r="D6" s="516">
        <v>43491</v>
      </c>
      <c r="E6" s="517">
        <v>106285.71400000001</v>
      </c>
      <c r="F6" s="517">
        <v>3123.6190000000001</v>
      </c>
      <c r="G6" s="515">
        <f t="shared" ref="G6:G16" si="0">SUM(E6:F6)</f>
        <v>109409.33300000001</v>
      </c>
      <c r="H6" s="980" t="s">
        <v>156</v>
      </c>
      <c r="I6" s="981"/>
    </row>
    <row r="7" spans="2:14" x14ac:dyDescent="0.2">
      <c r="B7" s="303" t="s">
        <v>100</v>
      </c>
      <c r="C7" s="518">
        <v>2418000</v>
      </c>
      <c r="D7" s="519">
        <v>43491</v>
      </c>
      <c r="E7" s="520">
        <v>172714.28599999999</v>
      </c>
      <c r="F7" s="520">
        <v>4855.1899999999996</v>
      </c>
      <c r="G7" s="518">
        <f t="shared" si="0"/>
        <v>177569.476</v>
      </c>
      <c r="H7" s="978" t="s">
        <v>156</v>
      </c>
      <c r="I7" s="979"/>
    </row>
    <row r="8" spans="2:14" x14ac:dyDescent="0.2">
      <c r="B8" s="303" t="s">
        <v>100</v>
      </c>
      <c r="C8" s="518">
        <v>2500000</v>
      </c>
      <c r="D8" s="519">
        <v>43496</v>
      </c>
      <c r="E8" s="520">
        <v>0</v>
      </c>
      <c r="F8" s="520">
        <v>52963.888888888898</v>
      </c>
      <c r="G8" s="518">
        <f t="shared" si="0"/>
        <v>52963.888888888898</v>
      </c>
      <c r="H8" s="522"/>
      <c r="I8" s="523"/>
    </row>
    <row r="9" spans="2:14" ht="13.5" thickBot="1" x14ac:dyDescent="0.25">
      <c r="B9" s="524" t="s">
        <v>100</v>
      </c>
      <c r="C9" s="525">
        <v>1250000</v>
      </c>
      <c r="D9" s="526">
        <v>43496</v>
      </c>
      <c r="E9" s="527">
        <v>0</v>
      </c>
      <c r="F9" s="527">
        <v>28654.167000000001</v>
      </c>
      <c r="G9" s="525">
        <f>SUM(E9:F9)</f>
        <v>28654.167000000001</v>
      </c>
      <c r="H9" s="524"/>
      <c r="I9" s="528"/>
    </row>
    <row r="10" spans="2:14" ht="14.25" thickBot="1" x14ac:dyDescent="0.3">
      <c r="B10" s="972" t="s">
        <v>687</v>
      </c>
      <c r="C10" s="973"/>
      <c r="D10" s="975"/>
      <c r="E10" s="335">
        <f>SUM(E6:E9)</f>
        <v>279000</v>
      </c>
      <c r="F10" s="335">
        <f>SUM(F6:F9)</f>
        <v>89596.8648888889</v>
      </c>
      <c r="G10" s="335">
        <f>SUM(G6:G9)</f>
        <v>368596.8648888889</v>
      </c>
      <c r="H10" s="336"/>
      <c r="I10" s="329"/>
    </row>
    <row r="11" spans="2:14" x14ac:dyDescent="0.2">
      <c r="B11" s="514" t="s">
        <v>100</v>
      </c>
      <c r="C11" s="591">
        <v>500000</v>
      </c>
      <c r="D11" s="592">
        <v>43555</v>
      </c>
      <c r="E11" s="517">
        <v>41666.667000000001</v>
      </c>
      <c r="F11" s="517">
        <v>6075</v>
      </c>
      <c r="G11" s="515">
        <f t="shared" si="0"/>
        <v>47741.667000000001</v>
      </c>
      <c r="H11" s="593"/>
      <c r="I11" s="594"/>
      <c r="J11" s="341"/>
      <c r="K11" s="177"/>
      <c r="L11" s="1"/>
      <c r="M11" s="3"/>
      <c r="N11" s="3"/>
    </row>
    <row r="12" spans="2:14" x14ac:dyDescent="0.2">
      <c r="B12" s="303" t="s">
        <v>100</v>
      </c>
      <c r="C12" s="595">
        <v>1150000</v>
      </c>
      <c r="D12" s="596">
        <v>43555</v>
      </c>
      <c r="E12" s="520">
        <v>95833.333333333299</v>
      </c>
      <c r="F12" s="520">
        <v>13994.0625</v>
      </c>
      <c r="G12" s="518">
        <f t="shared" si="0"/>
        <v>109827.3958333333</v>
      </c>
      <c r="H12" s="597"/>
      <c r="I12" s="304"/>
      <c r="J12" s="341"/>
      <c r="K12" s="508"/>
      <c r="L12" s="509"/>
      <c r="M12" s="376"/>
      <c r="N12" s="3"/>
    </row>
    <row r="13" spans="2:14" x14ac:dyDescent="0.2">
      <c r="B13" s="303" t="s">
        <v>100</v>
      </c>
      <c r="C13" s="595">
        <v>1000000</v>
      </c>
      <c r="D13" s="596">
        <v>43555</v>
      </c>
      <c r="E13" s="520">
        <v>83333.333333333299</v>
      </c>
      <c r="F13" s="520">
        <v>12131.25</v>
      </c>
      <c r="G13" s="518">
        <f t="shared" si="0"/>
        <v>95464.583333333299</v>
      </c>
      <c r="H13" s="597"/>
      <c r="I13" s="304"/>
      <c r="J13" s="341"/>
      <c r="K13" s="177"/>
      <c r="L13" s="1"/>
      <c r="M13" s="3"/>
      <c r="N13" s="3"/>
    </row>
    <row r="14" spans="2:14" x14ac:dyDescent="0.2">
      <c r="B14" s="303" t="s">
        <v>100</v>
      </c>
      <c r="C14" s="598">
        <v>350000</v>
      </c>
      <c r="D14" s="596">
        <v>43555</v>
      </c>
      <c r="E14" s="599">
        <v>29166.667000000001</v>
      </c>
      <c r="F14" s="599">
        <v>4291.875</v>
      </c>
      <c r="G14" s="518">
        <f t="shared" si="0"/>
        <v>33458.542000000001</v>
      </c>
      <c r="H14" s="600"/>
      <c r="I14" s="165"/>
      <c r="J14" s="341"/>
    </row>
    <row r="15" spans="2:14" ht="13.5" thickBot="1" x14ac:dyDescent="0.25">
      <c r="B15" s="164" t="s">
        <v>100</v>
      </c>
      <c r="C15" s="598">
        <v>500000</v>
      </c>
      <c r="D15" s="601">
        <v>43555</v>
      </c>
      <c r="E15" s="599">
        <v>41666.667000000001</v>
      </c>
      <c r="F15" s="599">
        <v>6243.75</v>
      </c>
      <c r="G15" s="602">
        <f t="shared" si="0"/>
        <v>47910.417000000001</v>
      </c>
      <c r="H15" s="600"/>
      <c r="I15" s="165"/>
      <c r="J15" s="341"/>
    </row>
    <row r="16" spans="2:14" ht="14.25" thickBot="1" x14ac:dyDescent="0.3">
      <c r="B16" s="972" t="s">
        <v>686</v>
      </c>
      <c r="C16" s="973"/>
      <c r="D16" s="974"/>
      <c r="E16" s="327">
        <f>SUM(E11:E15)</f>
        <v>291666.66766666662</v>
      </c>
      <c r="F16" s="350">
        <f>SUM(F11:F15)</f>
        <v>42735.9375</v>
      </c>
      <c r="G16" s="351">
        <f t="shared" si="0"/>
        <v>334402.60516666662</v>
      </c>
      <c r="H16" s="328"/>
      <c r="I16" s="329"/>
      <c r="J16" s="341"/>
    </row>
    <row r="17" spans="2:10" x14ac:dyDescent="0.2">
      <c r="B17" s="514" t="s">
        <v>100</v>
      </c>
      <c r="C17" s="515">
        <v>2500000</v>
      </c>
      <c r="D17" s="516">
        <v>43585</v>
      </c>
      <c r="E17" s="517">
        <v>0</v>
      </c>
      <c r="F17" s="517">
        <v>51236.805555555598</v>
      </c>
      <c r="G17" s="515">
        <f t="shared" ref="G17:G24" si="1">SUM(E17:F17)</f>
        <v>51236.805555555598</v>
      </c>
      <c r="H17" s="514"/>
      <c r="I17" s="594"/>
    </row>
    <row r="18" spans="2:10" ht="13.5" thickBot="1" x14ac:dyDescent="0.25">
      <c r="B18" s="524" t="s">
        <v>100</v>
      </c>
      <c r="C18" s="525">
        <v>1250000</v>
      </c>
      <c r="D18" s="526">
        <v>43585</v>
      </c>
      <c r="E18" s="527">
        <v>0</v>
      </c>
      <c r="F18" s="527">
        <v>27719.792000000001</v>
      </c>
      <c r="G18" s="525">
        <f t="shared" si="1"/>
        <v>27719.792000000001</v>
      </c>
      <c r="H18" s="524"/>
      <c r="I18" s="528"/>
    </row>
    <row r="19" spans="2:10" ht="14.25" thickBot="1" x14ac:dyDescent="0.3">
      <c r="B19" s="972" t="s">
        <v>685</v>
      </c>
      <c r="C19" s="973"/>
      <c r="D19" s="975"/>
      <c r="E19" s="327">
        <f>SUM(E17:E17)</f>
        <v>0</v>
      </c>
      <c r="F19" s="350">
        <f>SUM(F17:F18)</f>
        <v>78956.597555555607</v>
      </c>
      <c r="G19" s="351">
        <f t="shared" si="1"/>
        <v>78956.597555555607</v>
      </c>
      <c r="H19" s="352"/>
      <c r="I19" s="329"/>
    </row>
    <row r="20" spans="2:10" x14ac:dyDescent="0.2">
      <c r="B20" s="140" t="s">
        <v>100</v>
      </c>
      <c r="C20" s="658">
        <v>500000</v>
      </c>
      <c r="D20" s="592">
        <v>43646</v>
      </c>
      <c r="E20" s="517">
        <v>0</v>
      </c>
      <c r="F20" s="517">
        <v>5460</v>
      </c>
      <c r="G20" s="659">
        <f t="shared" si="1"/>
        <v>5460</v>
      </c>
      <c r="H20" s="660"/>
      <c r="I20" s="661"/>
      <c r="J20" s="341"/>
    </row>
    <row r="21" spans="2:10" x14ac:dyDescent="0.2">
      <c r="B21" s="150" t="s">
        <v>100</v>
      </c>
      <c r="C21" s="662">
        <v>1150000</v>
      </c>
      <c r="D21" s="596">
        <v>43646</v>
      </c>
      <c r="E21" s="520">
        <v>0</v>
      </c>
      <c r="F21" s="520">
        <v>12577.3796296296</v>
      </c>
      <c r="G21" s="663">
        <f t="shared" si="1"/>
        <v>12577.3796296296</v>
      </c>
      <c r="H21" s="664"/>
      <c r="I21" s="159"/>
    </row>
    <row r="22" spans="2:10" x14ac:dyDescent="0.2">
      <c r="B22" s="150" t="s">
        <v>100</v>
      </c>
      <c r="C22" s="662">
        <v>1000000</v>
      </c>
      <c r="D22" s="596">
        <v>43646</v>
      </c>
      <c r="E22" s="520">
        <v>0</v>
      </c>
      <c r="F22" s="520">
        <v>10903.148148148101</v>
      </c>
      <c r="G22" s="663">
        <f t="shared" si="1"/>
        <v>10903.148148148101</v>
      </c>
      <c r="H22" s="664"/>
      <c r="I22" s="159"/>
    </row>
    <row r="23" spans="2:10" x14ac:dyDescent="0.2">
      <c r="B23" s="150" t="s">
        <v>100</v>
      </c>
      <c r="C23" s="665">
        <v>350000</v>
      </c>
      <c r="D23" s="596">
        <v>43646</v>
      </c>
      <c r="E23" s="599">
        <v>0</v>
      </c>
      <c r="F23" s="599">
        <v>3857.3890000000001</v>
      </c>
      <c r="G23" s="663">
        <f t="shared" si="1"/>
        <v>3857.3890000000001</v>
      </c>
      <c r="H23" s="666"/>
      <c r="I23" s="199"/>
    </row>
    <row r="24" spans="2:10" ht="13.5" thickBot="1" x14ac:dyDescent="0.25">
      <c r="B24" s="205" t="s">
        <v>100</v>
      </c>
      <c r="C24" s="665">
        <v>500000</v>
      </c>
      <c r="D24" s="601">
        <v>43646</v>
      </c>
      <c r="E24" s="599">
        <v>0</v>
      </c>
      <c r="F24" s="599">
        <v>5611.6670000000004</v>
      </c>
      <c r="G24" s="667">
        <f t="shared" si="1"/>
        <v>5611.6670000000004</v>
      </c>
      <c r="H24" s="666"/>
      <c r="I24" s="199"/>
    </row>
    <row r="25" spans="2:10" ht="14.25" thickBot="1" x14ac:dyDescent="0.3">
      <c r="B25" s="972" t="s">
        <v>688</v>
      </c>
      <c r="C25" s="973"/>
      <c r="D25" s="974"/>
      <c r="E25" s="327">
        <f>SUM(E20:E24)</f>
        <v>0</v>
      </c>
      <c r="F25" s="350">
        <f>SUM(F20:F24)</f>
        <v>38409.583777777705</v>
      </c>
      <c r="G25" s="351">
        <f t="shared" ref="G25:G31" si="2">SUM(E25:F25)</f>
        <v>38409.583777777705</v>
      </c>
      <c r="H25" s="328"/>
      <c r="I25" s="329"/>
    </row>
    <row r="26" spans="2:10" x14ac:dyDescent="0.2">
      <c r="B26" s="514" t="s">
        <v>100</v>
      </c>
      <c r="C26" s="515">
        <v>2500000</v>
      </c>
      <c r="D26" s="516">
        <v>43677</v>
      </c>
      <c r="E26" s="517">
        <v>0</v>
      </c>
      <c r="F26" s="517">
        <v>52963.888888888898</v>
      </c>
      <c r="G26" s="515">
        <f t="shared" si="2"/>
        <v>52963.888888888898</v>
      </c>
      <c r="H26" s="514"/>
      <c r="I26" s="594"/>
    </row>
    <row r="27" spans="2:10" ht="13.5" thickBot="1" x14ac:dyDescent="0.25">
      <c r="B27" s="524" t="s">
        <v>100</v>
      </c>
      <c r="C27" s="525">
        <v>1250000</v>
      </c>
      <c r="D27" s="526">
        <v>43677</v>
      </c>
      <c r="E27" s="527">
        <v>0</v>
      </c>
      <c r="F27" s="527">
        <v>28654.167000000001</v>
      </c>
      <c r="G27" s="525">
        <f>SUM(E27:F27)</f>
        <v>28654.167000000001</v>
      </c>
      <c r="H27" s="524"/>
      <c r="I27" s="528"/>
    </row>
    <row r="28" spans="2:10" ht="14.25" thickBot="1" x14ac:dyDescent="0.3">
      <c r="B28" s="972" t="s">
        <v>689</v>
      </c>
      <c r="C28" s="973"/>
      <c r="D28" s="975"/>
      <c r="E28" s="350">
        <f>SUM(E26:E27)</f>
        <v>0</v>
      </c>
      <c r="F28" s="350">
        <f>SUM(F26:F27)</f>
        <v>81618.055888888892</v>
      </c>
      <c r="G28" s="350">
        <f>SUM(G26:G27)</f>
        <v>81618.055888888892</v>
      </c>
      <c r="H28" s="352"/>
      <c r="I28" s="329"/>
    </row>
    <row r="29" spans="2:10" x14ac:dyDescent="0.2">
      <c r="B29" s="514" t="s">
        <v>100</v>
      </c>
      <c r="C29" s="591">
        <v>500000</v>
      </c>
      <c r="D29" s="516">
        <v>43738</v>
      </c>
      <c r="E29" s="517">
        <v>41666.667000000001</v>
      </c>
      <c r="F29" s="517">
        <v>5520</v>
      </c>
      <c r="G29" s="515">
        <f t="shared" si="2"/>
        <v>47186.667000000001</v>
      </c>
      <c r="H29" s="593"/>
      <c r="I29" s="594"/>
    </row>
    <row r="30" spans="2:10" x14ac:dyDescent="0.2">
      <c r="B30" s="303" t="s">
        <v>100</v>
      </c>
      <c r="C30" s="595">
        <v>1150000</v>
      </c>
      <c r="D30" s="519">
        <v>43738</v>
      </c>
      <c r="E30" s="520">
        <v>95833.333333333328</v>
      </c>
      <c r="F30" s="520">
        <v>12715.5925925926</v>
      </c>
      <c r="G30" s="518">
        <f t="shared" si="2"/>
        <v>108548.92592592593</v>
      </c>
      <c r="H30" s="597"/>
      <c r="I30" s="304"/>
    </row>
    <row r="31" spans="2:10" x14ac:dyDescent="0.2">
      <c r="B31" s="303" t="s">
        <v>100</v>
      </c>
      <c r="C31" s="595">
        <v>1000000</v>
      </c>
      <c r="D31" s="519">
        <v>43738</v>
      </c>
      <c r="E31" s="520">
        <v>83333.333333333328</v>
      </c>
      <c r="F31" s="520">
        <v>11022.962962963</v>
      </c>
      <c r="G31" s="518">
        <f t="shared" si="2"/>
        <v>94356.296296296321</v>
      </c>
      <c r="H31" s="597"/>
      <c r="I31" s="304"/>
    </row>
    <row r="32" spans="2:10" x14ac:dyDescent="0.2">
      <c r="B32" s="303" t="s">
        <v>100</v>
      </c>
      <c r="C32" s="598">
        <v>350000</v>
      </c>
      <c r="D32" s="596">
        <v>43738</v>
      </c>
      <c r="E32" s="599">
        <v>29166.667000000001</v>
      </c>
      <c r="F32" s="599">
        <v>3899.7779999999998</v>
      </c>
      <c r="G32" s="602">
        <f t="shared" ref="G32:G39" si="3">SUM(E32:F32)</f>
        <v>33066.445</v>
      </c>
      <c r="H32" s="600"/>
      <c r="I32" s="165"/>
    </row>
    <row r="33" spans="2:9" ht="13.5" thickBot="1" x14ac:dyDescent="0.25">
      <c r="B33" s="164" t="s">
        <v>100</v>
      </c>
      <c r="C33" s="598">
        <v>500000</v>
      </c>
      <c r="D33" s="601">
        <v>43738</v>
      </c>
      <c r="E33" s="599">
        <v>41666.667000000001</v>
      </c>
      <c r="F33" s="599">
        <v>5673.3329999999996</v>
      </c>
      <c r="G33" s="602">
        <f t="shared" si="3"/>
        <v>47340</v>
      </c>
      <c r="H33" s="600"/>
      <c r="I33" s="165"/>
    </row>
    <row r="34" spans="2:9" ht="14.25" thickBot="1" x14ac:dyDescent="0.3">
      <c r="B34" s="972" t="s">
        <v>690</v>
      </c>
      <c r="C34" s="973"/>
      <c r="D34" s="974"/>
      <c r="E34" s="327">
        <f>SUM(E29:E33)</f>
        <v>291666.66766666668</v>
      </c>
      <c r="F34" s="350">
        <f>SUM(F29:F33)</f>
        <v>38831.666555555596</v>
      </c>
      <c r="G34" s="351">
        <f t="shared" si="3"/>
        <v>330498.33422222227</v>
      </c>
      <c r="H34" s="352"/>
      <c r="I34" s="329"/>
    </row>
    <row r="35" spans="2:9" x14ac:dyDescent="0.2">
      <c r="B35" s="514" t="s">
        <v>100</v>
      </c>
      <c r="C35" s="515">
        <v>2500000</v>
      </c>
      <c r="D35" s="516">
        <v>43769</v>
      </c>
      <c r="E35" s="517">
        <v>208333.33333333299</v>
      </c>
      <c r="F35" s="517">
        <v>52963.888888888898</v>
      </c>
      <c r="G35" s="515">
        <f>SUM(E35:F35)</f>
        <v>261297.2222222219</v>
      </c>
      <c r="H35" s="514"/>
      <c r="I35" s="594"/>
    </row>
    <row r="36" spans="2:9" ht="13.5" thickBot="1" x14ac:dyDescent="0.25">
      <c r="B36" s="524" t="s">
        <v>100</v>
      </c>
      <c r="C36" s="525">
        <v>1250000</v>
      </c>
      <c r="D36" s="526">
        <v>43769</v>
      </c>
      <c r="E36" s="527">
        <v>0</v>
      </c>
      <c r="F36" s="527">
        <v>28654.167000000001</v>
      </c>
      <c r="G36" s="525">
        <f>SUM(E36:F36)</f>
        <v>28654.167000000001</v>
      </c>
      <c r="H36" s="524"/>
      <c r="I36" s="528"/>
    </row>
    <row r="37" spans="2:9" ht="14.25" thickBot="1" x14ac:dyDescent="0.3">
      <c r="B37" s="972" t="s">
        <v>691</v>
      </c>
      <c r="C37" s="973"/>
      <c r="D37" s="975"/>
      <c r="E37" s="327">
        <f>SUM(E35:E35)</f>
        <v>208333.33333333299</v>
      </c>
      <c r="F37" s="350">
        <f>SUM(F35:F36)</f>
        <v>81618.055888888892</v>
      </c>
      <c r="G37" s="351">
        <f>SUM(E37:F37)</f>
        <v>289951.38922222191</v>
      </c>
      <c r="H37" s="352"/>
      <c r="I37" s="329"/>
    </row>
    <row r="38" spans="2:9" x14ac:dyDescent="0.2">
      <c r="B38" s="310" t="s">
        <v>100</v>
      </c>
      <c r="C38" s="337">
        <v>500000</v>
      </c>
      <c r="D38" s="338">
        <v>43830</v>
      </c>
      <c r="E38" s="339">
        <v>0</v>
      </c>
      <c r="F38" s="339">
        <v>4830</v>
      </c>
      <c r="G38" s="340">
        <f t="shared" si="3"/>
        <v>4830</v>
      </c>
      <c r="H38" s="310"/>
      <c r="I38" s="312"/>
    </row>
    <row r="39" spans="2:9" x14ac:dyDescent="0.2">
      <c r="B39" s="311" t="s">
        <v>100</v>
      </c>
      <c r="C39" s="342">
        <v>1150000</v>
      </c>
      <c r="D39" s="343">
        <v>43830</v>
      </c>
      <c r="E39" s="344">
        <v>0</v>
      </c>
      <c r="F39" s="344">
        <v>11126.1435185185</v>
      </c>
      <c r="G39" s="345">
        <f t="shared" si="3"/>
        <v>11126.1435185185</v>
      </c>
      <c r="H39" s="311"/>
      <c r="I39" s="313"/>
    </row>
    <row r="40" spans="2:9" x14ac:dyDescent="0.2">
      <c r="B40" s="311" t="s">
        <v>100</v>
      </c>
      <c r="C40" s="342">
        <v>1000000</v>
      </c>
      <c r="D40" s="343">
        <v>43830</v>
      </c>
      <c r="E40" s="344">
        <v>0</v>
      </c>
      <c r="F40" s="344">
        <v>9645.0925925925894</v>
      </c>
      <c r="G40" s="345">
        <f>SUM(E40:F40)</f>
        <v>9645.0925925925894</v>
      </c>
      <c r="H40" s="311"/>
      <c r="I40" s="313"/>
    </row>
    <row r="41" spans="2:9" x14ac:dyDescent="0.2">
      <c r="B41" s="311" t="s">
        <v>100</v>
      </c>
      <c r="C41" s="346">
        <v>350000</v>
      </c>
      <c r="D41" s="343">
        <v>43830</v>
      </c>
      <c r="E41" s="347">
        <v>0</v>
      </c>
      <c r="F41" s="347">
        <v>3412.306</v>
      </c>
      <c r="G41" s="345">
        <f>SUM(E41:F41)</f>
        <v>3412.306</v>
      </c>
      <c r="H41" s="311"/>
      <c r="I41" s="313"/>
    </row>
    <row r="42" spans="2:9" ht="13.5" thickBot="1" x14ac:dyDescent="0.25">
      <c r="B42" s="40" t="s">
        <v>100</v>
      </c>
      <c r="C42" s="346">
        <v>500000</v>
      </c>
      <c r="D42" s="348">
        <v>43830</v>
      </c>
      <c r="E42" s="347">
        <v>0</v>
      </c>
      <c r="F42" s="347">
        <v>4964.1670000000004</v>
      </c>
      <c r="G42" s="349">
        <f>SUM(E42:F42)</f>
        <v>4964.1670000000004</v>
      </c>
      <c r="H42" s="311"/>
      <c r="I42" s="313"/>
    </row>
    <row r="43" spans="2:9" ht="14.25" thickBot="1" x14ac:dyDescent="0.3">
      <c r="B43" s="972" t="s">
        <v>692</v>
      </c>
      <c r="C43" s="973"/>
      <c r="D43" s="975"/>
      <c r="E43" s="327">
        <f>SUM(E38:E42)</f>
        <v>0</v>
      </c>
      <c r="F43" s="350">
        <f>SUM(F38:F42)</f>
        <v>33977.709111111086</v>
      </c>
      <c r="G43" s="351">
        <f>SUM(E43:F43)</f>
        <v>33977.709111111086</v>
      </c>
      <c r="H43" s="328"/>
      <c r="I43" s="329"/>
    </row>
    <row r="44" spans="2:9" ht="13.5" thickBot="1" x14ac:dyDescent="0.25">
      <c r="B44" s="1"/>
      <c r="C44" s="330"/>
      <c r="D44" s="322"/>
      <c r="E44" s="322"/>
      <c r="F44" s="322"/>
      <c r="G44" s="1"/>
      <c r="H44" s="1"/>
      <c r="I44" s="1"/>
    </row>
    <row r="45" spans="2:9" ht="14.25" thickBot="1" x14ac:dyDescent="0.3">
      <c r="B45" s="969" t="s">
        <v>693</v>
      </c>
      <c r="C45" s="970"/>
      <c r="D45" s="971"/>
      <c r="E45" s="331">
        <f>E43+E37+E34+E28+E25+E19+E16+E10</f>
        <v>1070666.6686666664</v>
      </c>
      <c r="F45" s="331">
        <f>F43+F37+F34+F28+F25+F19+F16+F10</f>
        <v>485744.47116666671</v>
      </c>
      <c r="G45" s="331">
        <f>G43+G37+G34+G28+G25+G19+G16+G10</f>
        <v>1556411.139833333</v>
      </c>
      <c r="H45" s="332"/>
      <c r="I45" s="333"/>
    </row>
  </sheetData>
  <mergeCells count="14">
    <mergeCell ref="B2:I2"/>
    <mergeCell ref="B45:D45"/>
    <mergeCell ref="B34:D34"/>
    <mergeCell ref="B25:D25"/>
    <mergeCell ref="B28:D28"/>
    <mergeCell ref="B5:C5"/>
    <mergeCell ref="B10:D10"/>
    <mergeCell ref="B16:D16"/>
    <mergeCell ref="B37:D37"/>
    <mergeCell ref="B43:D43"/>
    <mergeCell ref="H7:I7"/>
    <mergeCell ref="H6:I6"/>
    <mergeCell ref="B19:D19"/>
    <mergeCell ref="B3:I3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1 G8:G9 G4:G7" formulaRange="1"/>
    <ignoredError sqref="G27 G17:G19 G25 G37 G34 G43:G44 G10 G38:G42 G29:G33 G35:G36 G20:G24 G11:G16 G26" formula="1" formulaRange="1"/>
    <ignoredError sqref="G2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>
    <pageSetUpPr fitToPage="1"/>
  </sheetPr>
  <dimension ref="A1:V234"/>
  <sheetViews>
    <sheetView zoomScaleNormal="100" workbookViewId="0">
      <selection activeCell="N152" sqref="N152"/>
    </sheetView>
  </sheetViews>
  <sheetFormatPr baseColWidth="10" defaultRowHeight="12.75" x14ac:dyDescent="0.2"/>
  <cols>
    <col min="1" max="1" width="22.85546875" style="15" bestFit="1" customWidth="1"/>
    <col min="2" max="2" width="11.28515625" style="15" bestFit="1" customWidth="1"/>
    <col min="3" max="3" width="10.140625" style="15" bestFit="1" customWidth="1"/>
    <col min="4" max="4" width="4.7109375" style="15" bestFit="1" customWidth="1"/>
    <col min="5" max="5" width="10.140625" style="180" bestFit="1" customWidth="1"/>
    <col min="6" max="6" width="10.85546875" style="187" bestFit="1" customWidth="1"/>
    <col min="7" max="7" width="10.140625" style="15" bestFit="1" customWidth="1"/>
    <col min="8" max="8" width="10.85546875" style="187" bestFit="1" customWidth="1"/>
    <col min="9" max="9" width="9.85546875" style="15" bestFit="1" customWidth="1"/>
    <col min="10" max="10" width="10.42578125" style="15" bestFit="1" customWidth="1"/>
    <col min="11" max="11" width="9.85546875" style="180" bestFit="1" customWidth="1"/>
    <col min="12" max="12" width="9" style="15" bestFit="1" customWidth="1"/>
    <col min="13" max="13" width="11.7109375" style="15" bestFit="1" customWidth="1"/>
    <col min="14" max="14" width="10.140625" style="180" bestFit="1" customWidth="1"/>
    <col min="15" max="15" width="11.140625" style="232" bestFit="1" customWidth="1"/>
    <col min="16" max="16" width="12.5703125" style="15" bestFit="1" customWidth="1"/>
    <col min="17" max="17" width="10.7109375" style="180" bestFit="1" customWidth="1"/>
    <col min="18" max="18" width="7.85546875" style="180" bestFit="1" customWidth="1"/>
    <col min="19" max="256" width="11.42578125" style="15"/>
    <col min="257" max="257" width="8.85546875" style="15" bestFit="1" customWidth="1"/>
    <col min="258" max="258" width="10.140625" style="15" bestFit="1" customWidth="1"/>
    <col min="259" max="259" width="12.140625" style="15" bestFit="1" customWidth="1"/>
    <col min="260" max="260" width="4.5703125" style="15" bestFit="1" customWidth="1"/>
    <col min="261" max="261" width="11.28515625" style="15" bestFit="1" customWidth="1"/>
    <col min="262" max="262" width="13.28515625" style="15" bestFit="1" customWidth="1"/>
    <col min="263" max="263" width="12.140625" style="15" bestFit="1" customWidth="1"/>
    <col min="264" max="264" width="14.5703125" style="15" customWidth="1"/>
    <col min="265" max="266" width="12.140625" style="15" bestFit="1" customWidth="1"/>
    <col min="267" max="267" width="11.85546875" style="15" bestFit="1" customWidth="1"/>
    <col min="268" max="268" width="12.140625" style="15" bestFit="1" customWidth="1"/>
    <col min="269" max="269" width="12" style="15" bestFit="1" customWidth="1"/>
    <col min="270" max="270" width="18.7109375" style="15" bestFit="1" customWidth="1"/>
    <col min="271" max="512" width="11.42578125" style="15"/>
    <col min="513" max="513" width="8.85546875" style="15" bestFit="1" customWidth="1"/>
    <col min="514" max="514" width="10.140625" style="15" bestFit="1" customWidth="1"/>
    <col min="515" max="515" width="12.140625" style="15" bestFit="1" customWidth="1"/>
    <col min="516" max="516" width="4.5703125" style="15" bestFit="1" customWidth="1"/>
    <col min="517" max="517" width="11.28515625" style="15" bestFit="1" customWidth="1"/>
    <col min="518" max="518" width="13.28515625" style="15" bestFit="1" customWidth="1"/>
    <col min="519" max="519" width="12.140625" style="15" bestFit="1" customWidth="1"/>
    <col min="520" max="520" width="14.5703125" style="15" customWidth="1"/>
    <col min="521" max="522" width="12.140625" style="15" bestFit="1" customWidth="1"/>
    <col min="523" max="523" width="11.85546875" style="15" bestFit="1" customWidth="1"/>
    <col min="524" max="524" width="12.140625" style="15" bestFit="1" customWidth="1"/>
    <col min="525" max="525" width="12" style="15" bestFit="1" customWidth="1"/>
    <col min="526" max="526" width="18.7109375" style="15" bestFit="1" customWidth="1"/>
    <col min="527" max="768" width="11.42578125" style="15"/>
    <col min="769" max="769" width="8.85546875" style="15" bestFit="1" customWidth="1"/>
    <col min="770" max="770" width="10.140625" style="15" bestFit="1" customWidth="1"/>
    <col min="771" max="771" width="12.140625" style="15" bestFit="1" customWidth="1"/>
    <col min="772" max="772" width="4.5703125" style="15" bestFit="1" customWidth="1"/>
    <col min="773" max="773" width="11.28515625" style="15" bestFit="1" customWidth="1"/>
    <col min="774" max="774" width="13.28515625" style="15" bestFit="1" customWidth="1"/>
    <col min="775" max="775" width="12.140625" style="15" bestFit="1" customWidth="1"/>
    <col min="776" max="776" width="14.5703125" style="15" customWidth="1"/>
    <col min="777" max="778" width="12.140625" style="15" bestFit="1" customWidth="1"/>
    <col min="779" max="779" width="11.85546875" style="15" bestFit="1" customWidth="1"/>
    <col min="780" max="780" width="12.140625" style="15" bestFit="1" customWidth="1"/>
    <col min="781" max="781" width="12" style="15" bestFit="1" customWidth="1"/>
    <col min="782" max="782" width="18.7109375" style="15" bestFit="1" customWidth="1"/>
    <col min="783" max="1024" width="11.42578125" style="15"/>
    <col min="1025" max="1025" width="8.85546875" style="15" bestFit="1" customWidth="1"/>
    <col min="1026" max="1026" width="10.140625" style="15" bestFit="1" customWidth="1"/>
    <col min="1027" max="1027" width="12.140625" style="15" bestFit="1" customWidth="1"/>
    <col min="1028" max="1028" width="4.5703125" style="15" bestFit="1" customWidth="1"/>
    <col min="1029" max="1029" width="11.28515625" style="15" bestFit="1" customWidth="1"/>
    <col min="1030" max="1030" width="13.28515625" style="15" bestFit="1" customWidth="1"/>
    <col min="1031" max="1031" width="12.140625" style="15" bestFit="1" customWidth="1"/>
    <col min="1032" max="1032" width="14.5703125" style="15" customWidth="1"/>
    <col min="1033" max="1034" width="12.140625" style="15" bestFit="1" customWidth="1"/>
    <col min="1035" max="1035" width="11.85546875" style="15" bestFit="1" customWidth="1"/>
    <col min="1036" max="1036" width="12.140625" style="15" bestFit="1" customWidth="1"/>
    <col min="1037" max="1037" width="12" style="15" bestFit="1" customWidth="1"/>
    <col min="1038" max="1038" width="18.7109375" style="15" bestFit="1" customWidth="1"/>
    <col min="1039" max="1280" width="11.42578125" style="15"/>
    <col min="1281" max="1281" width="8.85546875" style="15" bestFit="1" customWidth="1"/>
    <col min="1282" max="1282" width="10.140625" style="15" bestFit="1" customWidth="1"/>
    <col min="1283" max="1283" width="12.140625" style="15" bestFit="1" customWidth="1"/>
    <col min="1284" max="1284" width="4.5703125" style="15" bestFit="1" customWidth="1"/>
    <col min="1285" max="1285" width="11.28515625" style="15" bestFit="1" customWidth="1"/>
    <col min="1286" max="1286" width="13.28515625" style="15" bestFit="1" customWidth="1"/>
    <col min="1287" max="1287" width="12.140625" style="15" bestFit="1" customWidth="1"/>
    <col min="1288" max="1288" width="14.5703125" style="15" customWidth="1"/>
    <col min="1289" max="1290" width="12.140625" style="15" bestFit="1" customWidth="1"/>
    <col min="1291" max="1291" width="11.85546875" style="15" bestFit="1" customWidth="1"/>
    <col min="1292" max="1292" width="12.140625" style="15" bestFit="1" customWidth="1"/>
    <col min="1293" max="1293" width="12" style="15" bestFit="1" customWidth="1"/>
    <col min="1294" max="1294" width="18.7109375" style="15" bestFit="1" customWidth="1"/>
    <col min="1295" max="1536" width="11.42578125" style="15"/>
    <col min="1537" max="1537" width="8.85546875" style="15" bestFit="1" customWidth="1"/>
    <col min="1538" max="1538" width="10.140625" style="15" bestFit="1" customWidth="1"/>
    <col min="1539" max="1539" width="12.140625" style="15" bestFit="1" customWidth="1"/>
    <col min="1540" max="1540" width="4.5703125" style="15" bestFit="1" customWidth="1"/>
    <col min="1541" max="1541" width="11.28515625" style="15" bestFit="1" customWidth="1"/>
    <col min="1542" max="1542" width="13.28515625" style="15" bestFit="1" customWidth="1"/>
    <col min="1543" max="1543" width="12.140625" style="15" bestFit="1" customWidth="1"/>
    <col min="1544" max="1544" width="14.5703125" style="15" customWidth="1"/>
    <col min="1545" max="1546" width="12.140625" style="15" bestFit="1" customWidth="1"/>
    <col min="1547" max="1547" width="11.85546875" style="15" bestFit="1" customWidth="1"/>
    <col min="1548" max="1548" width="12.140625" style="15" bestFit="1" customWidth="1"/>
    <col min="1549" max="1549" width="12" style="15" bestFit="1" customWidth="1"/>
    <col min="1550" max="1550" width="18.7109375" style="15" bestFit="1" customWidth="1"/>
    <col min="1551" max="1792" width="11.42578125" style="15"/>
    <col min="1793" max="1793" width="8.85546875" style="15" bestFit="1" customWidth="1"/>
    <col min="1794" max="1794" width="10.140625" style="15" bestFit="1" customWidth="1"/>
    <col min="1795" max="1795" width="12.140625" style="15" bestFit="1" customWidth="1"/>
    <col min="1796" max="1796" width="4.5703125" style="15" bestFit="1" customWidth="1"/>
    <col min="1797" max="1797" width="11.28515625" style="15" bestFit="1" customWidth="1"/>
    <col min="1798" max="1798" width="13.28515625" style="15" bestFit="1" customWidth="1"/>
    <col min="1799" max="1799" width="12.140625" style="15" bestFit="1" customWidth="1"/>
    <col min="1800" max="1800" width="14.5703125" style="15" customWidth="1"/>
    <col min="1801" max="1802" width="12.140625" style="15" bestFit="1" customWidth="1"/>
    <col min="1803" max="1803" width="11.85546875" style="15" bestFit="1" customWidth="1"/>
    <col min="1804" max="1804" width="12.140625" style="15" bestFit="1" customWidth="1"/>
    <col min="1805" max="1805" width="12" style="15" bestFit="1" customWidth="1"/>
    <col min="1806" max="1806" width="18.7109375" style="15" bestFit="1" customWidth="1"/>
    <col min="1807" max="2048" width="11.42578125" style="15"/>
    <col min="2049" max="2049" width="8.85546875" style="15" bestFit="1" customWidth="1"/>
    <col min="2050" max="2050" width="10.140625" style="15" bestFit="1" customWidth="1"/>
    <col min="2051" max="2051" width="12.140625" style="15" bestFit="1" customWidth="1"/>
    <col min="2052" max="2052" width="4.5703125" style="15" bestFit="1" customWidth="1"/>
    <col min="2053" max="2053" width="11.28515625" style="15" bestFit="1" customWidth="1"/>
    <col min="2054" max="2054" width="13.28515625" style="15" bestFit="1" customWidth="1"/>
    <col min="2055" max="2055" width="12.140625" style="15" bestFit="1" customWidth="1"/>
    <col min="2056" max="2056" width="14.5703125" style="15" customWidth="1"/>
    <col min="2057" max="2058" width="12.140625" style="15" bestFit="1" customWidth="1"/>
    <col min="2059" max="2059" width="11.85546875" style="15" bestFit="1" customWidth="1"/>
    <col min="2060" max="2060" width="12.140625" style="15" bestFit="1" customWidth="1"/>
    <col min="2061" max="2061" width="12" style="15" bestFit="1" customWidth="1"/>
    <col min="2062" max="2062" width="18.7109375" style="15" bestFit="1" customWidth="1"/>
    <col min="2063" max="2304" width="11.42578125" style="15"/>
    <col min="2305" max="2305" width="8.85546875" style="15" bestFit="1" customWidth="1"/>
    <col min="2306" max="2306" width="10.140625" style="15" bestFit="1" customWidth="1"/>
    <col min="2307" max="2307" width="12.140625" style="15" bestFit="1" customWidth="1"/>
    <col min="2308" max="2308" width="4.5703125" style="15" bestFit="1" customWidth="1"/>
    <col min="2309" max="2309" width="11.28515625" style="15" bestFit="1" customWidth="1"/>
    <col min="2310" max="2310" width="13.28515625" style="15" bestFit="1" customWidth="1"/>
    <col min="2311" max="2311" width="12.140625" style="15" bestFit="1" customWidth="1"/>
    <col min="2312" max="2312" width="14.5703125" style="15" customWidth="1"/>
    <col min="2313" max="2314" width="12.140625" style="15" bestFit="1" customWidth="1"/>
    <col min="2315" max="2315" width="11.85546875" style="15" bestFit="1" customWidth="1"/>
    <col min="2316" max="2316" width="12.140625" style="15" bestFit="1" customWidth="1"/>
    <col min="2317" max="2317" width="12" style="15" bestFit="1" customWidth="1"/>
    <col min="2318" max="2318" width="18.7109375" style="15" bestFit="1" customWidth="1"/>
    <col min="2319" max="2560" width="11.42578125" style="15"/>
    <col min="2561" max="2561" width="8.85546875" style="15" bestFit="1" customWidth="1"/>
    <col min="2562" max="2562" width="10.140625" style="15" bestFit="1" customWidth="1"/>
    <col min="2563" max="2563" width="12.140625" style="15" bestFit="1" customWidth="1"/>
    <col min="2564" max="2564" width="4.5703125" style="15" bestFit="1" customWidth="1"/>
    <col min="2565" max="2565" width="11.28515625" style="15" bestFit="1" customWidth="1"/>
    <col min="2566" max="2566" width="13.28515625" style="15" bestFit="1" customWidth="1"/>
    <col min="2567" max="2567" width="12.140625" style="15" bestFit="1" customWidth="1"/>
    <col min="2568" max="2568" width="14.5703125" style="15" customWidth="1"/>
    <col min="2569" max="2570" width="12.140625" style="15" bestFit="1" customWidth="1"/>
    <col min="2571" max="2571" width="11.85546875" style="15" bestFit="1" customWidth="1"/>
    <col min="2572" max="2572" width="12.140625" style="15" bestFit="1" customWidth="1"/>
    <col min="2573" max="2573" width="12" style="15" bestFit="1" customWidth="1"/>
    <col min="2574" max="2574" width="18.7109375" style="15" bestFit="1" customWidth="1"/>
    <col min="2575" max="2816" width="11.42578125" style="15"/>
    <col min="2817" max="2817" width="8.85546875" style="15" bestFit="1" customWidth="1"/>
    <col min="2818" max="2818" width="10.140625" style="15" bestFit="1" customWidth="1"/>
    <col min="2819" max="2819" width="12.140625" style="15" bestFit="1" customWidth="1"/>
    <col min="2820" max="2820" width="4.5703125" style="15" bestFit="1" customWidth="1"/>
    <col min="2821" max="2821" width="11.28515625" style="15" bestFit="1" customWidth="1"/>
    <col min="2822" max="2822" width="13.28515625" style="15" bestFit="1" customWidth="1"/>
    <col min="2823" max="2823" width="12.140625" style="15" bestFit="1" customWidth="1"/>
    <col min="2824" max="2824" width="14.5703125" style="15" customWidth="1"/>
    <col min="2825" max="2826" width="12.140625" style="15" bestFit="1" customWidth="1"/>
    <col min="2827" max="2827" width="11.85546875" style="15" bestFit="1" customWidth="1"/>
    <col min="2828" max="2828" width="12.140625" style="15" bestFit="1" customWidth="1"/>
    <col min="2829" max="2829" width="12" style="15" bestFit="1" customWidth="1"/>
    <col min="2830" max="2830" width="18.7109375" style="15" bestFit="1" customWidth="1"/>
    <col min="2831" max="3072" width="11.42578125" style="15"/>
    <col min="3073" max="3073" width="8.85546875" style="15" bestFit="1" customWidth="1"/>
    <col min="3074" max="3074" width="10.140625" style="15" bestFit="1" customWidth="1"/>
    <col min="3075" max="3075" width="12.140625" style="15" bestFit="1" customWidth="1"/>
    <col min="3076" max="3076" width="4.5703125" style="15" bestFit="1" customWidth="1"/>
    <col min="3077" max="3077" width="11.28515625" style="15" bestFit="1" customWidth="1"/>
    <col min="3078" max="3078" width="13.28515625" style="15" bestFit="1" customWidth="1"/>
    <col min="3079" max="3079" width="12.140625" style="15" bestFit="1" customWidth="1"/>
    <col min="3080" max="3080" width="14.5703125" style="15" customWidth="1"/>
    <col min="3081" max="3082" width="12.140625" style="15" bestFit="1" customWidth="1"/>
    <col min="3083" max="3083" width="11.85546875" style="15" bestFit="1" customWidth="1"/>
    <col min="3084" max="3084" width="12.140625" style="15" bestFit="1" customWidth="1"/>
    <col min="3085" max="3085" width="12" style="15" bestFit="1" customWidth="1"/>
    <col min="3086" max="3086" width="18.7109375" style="15" bestFit="1" customWidth="1"/>
    <col min="3087" max="3328" width="11.42578125" style="15"/>
    <col min="3329" max="3329" width="8.85546875" style="15" bestFit="1" customWidth="1"/>
    <col min="3330" max="3330" width="10.140625" style="15" bestFit="1" customWidth="1"/>
    <col min="3331" max="3331" width="12.140625" style="15" bestFit="1" customWidth="1"/>
    <col min="3332" max="3332" width="4.5703125" style="15" bestFit="1" customWidth="1"/>
    <col min="3333" max="3333" width="11.28515625" style="15" bestFit="1" customWidth="1"/>
    <col min="3334" max="3334" width="13.28515625" style="15" bestFit="1" customWidth="1"/>
    <col min="3335" max="3335" width="12.140625" style="15" bestFit="1" customWidth="1"/>
    <col min="3336" max="3336" width="14.5703125" style="15" customWidth="1"/>
    <col min="3337" max="3338" width="12.140625" style="15" bestFit="1" customWidth="1"/>
    <col min="3339" max="3339" width="11.85546875" style="15" bestFit="1" customWidth="1"/>
    <col min="3340" max="3340" width="12.140625" style="15" bestFit="1" customWidth="1"/>
    <col min="3341" max="3341" width="12" style="15" bestFit="1" customWidth="1"/>
    <col min="3342" max="3342" width="18.7109375" style="15" bestFit="1" customWidth="1"/>
    <col min="3343" max="3584" width="11.42578125" style="15"/>
    <col min="3585" max="3585" width="8.85546875" style="15" bestFit="1" customWidth="1"/>
    <col min="3586" max="3586" width="10.140625" style="15" bestFit="1" customWidth="1"/>
    <col min="3587" max="3587" width="12.140625" style="15" bestFit="1" customWidth="1"/>
    <col min="3588" max="3588" width="4.5703125" style="15" bestFit="1" customWidth="1"/>
    <col min="3589" max="3589" width="11.28515625" style="15" bestFit="1" customWidth="1"/>
    <col min="3590" max="3590" width="13.28515625" style="15" bestFit="1" customWidth="1"/>
    <col min="3591" max="3591" width="12.140625" style="15" bestFit="1" customWidth="1"/>
    <col min="3592" max="3592" width="14.5703125" style="15" customWidth="1"/>
    <col min="3593" max="3594" width="12.140625" style="15" bestFit="1" customWidth="1"/>
    <col min="3595" max="3595" width="11.85546875" style="15" bestFit="1" customWidth="1"/>
    <col min="3596" max="3596" width="12.140625" style="15" bestFit="1" customWidth="1"/>
    <col min="3597" max="3597" width="12" style="15" bestFit="1" customWidth="1"/>
    <col min="3598" max="3598" width="18.7109375" style="15" bestFit="1" customWidth="1"/>
    <col min="3599" max="3840" width="11.42578125" style="15"/>
    <col min="3841" max="3841" width="8.85546875" style="15" bestFit="1" customWidth="1"/>
    <col min="3842" max="3842" width="10.140625" style="15" bestFit="1" customWidth="1"/>
    <col min="3843" max="3843" width="12.140625" style="15" bestFit="1" customWidth="1"/>
    <col min="3844" max="3844" width="4.5703125" style="15" bestFit="1" customWidth="1"/>
    <col min="3845" max="3845" width="11.28515625" style="15" bestFit="1" customWidth="1"/>
    <col min="3846" max="3846" width="13.28515625" style="15" bestFit="1" customWidth="1"/>
    <col min="3847" max="3847" width="12.140625" style="15" bestFit="1" customWidth="1"/>
    <col min="3848" max="3848" width="14.5703125" style="15" customWidth="1"/>
    <col min="3849" max="3850" width="12.140625" style="15" bestFit="1" customWidth="1"/>
    <col min="3851" max="3851" width="11.85546875" style="15" bestFit="1" customWidth="1"/>
    <col min="3852" max="3852" width="12.140625" style="15" bestFit="1" customWidth="1"/>
    <col min="3853" max="3853" width="12" style="15" bestFit="1" customWidth="1"/>
    <col min="3854" max="3854" width="18.7109375" style="15" bestFit="1" customWidth="1"/>
    <col min="3855" max="4096" width="11.42578125" style="15"/>
    <col min="4097" max="4097" width="8.85546875" style="15" bestFit="1" customWidth="1"/>
    <col min="4098" max="4098" width="10.140625" style="15" bestFit="1" customWidth="1"/>
    <col min="4099" max="4099" width="12.140625" style="15" bestFit="1" customWidth="1"/>
    <col min="4100" max="4100" width="4.5703125" style="15" bestFit="1" customWidth="1"/>
    <col min="4101" max="4101" width="11.28515625" style="15" bestFit="1" customWidth="1"/>
    <col min="4102" max="4102" width="13.28515625" style="15" bestFit="1" customWidth="1"/>
    <col min="4103" max="4103" width="12.140625" style="15" bestFit="1" customWidth="1"/>
    <col min="4104" max="4104" width="14.5703125" style="15" customWidth="1"/>
    <col min="4105" max="4106" width="12.140625" style="15" bestFit="1" customWidth="1"/>
    <col min="4107" max="4107" width="11.85546875" style="15" bestFit="1" customWidth="1"/>
    <col min="4108" max="4108" width="12.140625" style="15" bestFit="1" customWidth="1"/>
    <col min="4109" max="4109" width="12" style="15" bestFit="1" customWidth="1"/>
    <col min="4110" max="4110" width="18.7109375" style="15" bestFit="1" customWidth="1"/>
    <col min="4111" max="4352" width="11.42578125" style="15"/>
    <col min="4353" max="4353" width="8.85546875" style="15" bestFit="1" customWidth="1"/>
    <col min="4354" max="4354" width="10.140625" style="15" bestFit="1" customWidth="1"/>
    <col min="4355" max="4355" width="12.140625" style="15" bestFit="1" customWidth="1"/>
    <col min="4356" max="4356" width="4.5703125" style="15" bestFit="1" customWidth="1"/>
    <col min="4357" max="4357" width="11.28515625" style="15" bestFit="1" customWidth="1"/>
    <col min="4358" max="4358" width="13.28515625" style="15" bestFit="1" customWidth="1"/>
    <col min="4359" max="4359" width="12.140625" style="15" bestFit="1" customWidth="1"/>
    <col min="4360" max="4360" width="14.5703125" style="15" customWidth="1"/>
    <col min="4361" max="4362" width="12.140625" style="15" bestFit="1" customWidth="1"/>
    <col min="4363" max="4363" width="11.85546875" style="15" bestFit="1" customWidth="1"/>
    <col min="4364" max="4364" width="12.140625" style="15" bestFit="1" customWidth="1"/>
    <col min="4365" max="4365" width="12" style="15" bestFit="1" customWidth="1"/>
    <col min="4366" max="4366" width="18.7109375" style="15" bestFit="1" customWidth="1"/>
    <col min="4367" max="4608" width="11.42578125" style="15"/>
    <col min="4609" max="4609" width="8.85546875" style="15" bestFit="1" customWidth="1"/>
    <col min="4610" max="4610" width="10.140625" style="15" bestFit="1" customWidth="1"/>
    <col min="4611" max="4611" width="12.140625" style="15" bestFit="1" customWidth="1"/>
    <col min="4612" max="4612" width="4.5703125" style="15" bestFit="1" customWidth="1"/>
    <col min="4613" max="4613" width="11.28515625" style="15" bestFit="1" customWidth="1"/>
    <col min="4614" max="4614" width="13.28515625" style="15" bestFit="1" customWidth="1"/>
    <col min="4615" max="4615" width="12.140625" style="15" bestFit="1" customWidth="1"/>
    <col min="4616" max="4616" width="14.5703125" style="15" customWidth="1"/>
    <col min="4617" max="4618" width="12.140625" style="15" bestFit="1" customWidth="1"/>
    <col min="4619" max="4619" width="11.85546875" style="15" bestFit="1" customWidth="1"/>
    <col min="4620" max="4620" width="12.140625" style="15" bestFit="1" customWidth="1"/>
    <col min="4621" max="4621" width="12" style="15" bestFit="1" customWidth="1"/>
    <col min="4622" max="4622" width="18.7109375" style="15" bestFit="1" customWidth="1"/>
    <col min="4623" max="4864" width="11.42578125" style="15"/>
    <col min="4865" max="4865" width="8.85546875" style="15" bestFit="1" customWidth="1"/>
    <col min="4866" max="4866" width="10.140625" style="15" bestFit="1" customWidth="1"/>
    <col min="4867" max="4867" width="12.140625" style="15" bestFit="1" customWidth="1"/>
    <col min="4868" max="4868" width="4.5703125" style="15" bestFit="1" customWidth="1"/>
    <col min="4869" max="4869" width="11.28515625" style="15" bestFit="1" customWidth="1"/>
    <col min="4870" max="4870" width="13.28515625" style="15" bestFit="1" customWidth="1"/>
    <col min="4871" max="4871" width="12.140625" style="15" bestFit="1" customWidth="1"/>
    <col min="4872" max="4872" width="14.5703125" style="15" customWidth="1"/>
    <col min="4873" max="4874" width="12.140625" style="15" bestFit="1" customWidth="1"/>
    <col min="4875" max="4875" width="11.85546875" style="15" bestFit="1" customWidth="1"/>
    <col min="4876" max="4876" width="12.140625" style="15" bestFit="1" customWidth="1"/>
    <col min="4877" max="4877" width="12" style="15" bestFit="1" customWidth="1"/>
    <col min="4878" max="4878" width="18.7109375" style="15" bestFit="1" customWidth="1"/>
    <col min="4879" max="5120" width="11.42578125" style="15"/>
    <col min="5121" max="5121" width="8.85546875" style="15" bestFit="1" customWidth="1"/>
    <col min="5122" max="5122" width="10.140625" style="15" bestFit="1" customWidth="1"/>
    <col min="5123" max="5123" width="12.140625" style="15" bestFit="1" customWidth="1"/>
    <col min="5124" max="5124" width="4.5703125" style="15" bestFit="1" customWidth="1"/>
    <col min="5125" max="5125" width="11.28515625" style="15" bestFit="1" customWidth="1"/>
    <col min="5126" max="5126" width="13.28515625" style="15" bestFit="1" customWidth="1"/>
    <col min="5127" max="5127" width="12.140625" style="15" bestFit="1" customWidth="1"/>
    <col min="5128" max="5128" width="14.5703125" style="15" customWidth="1"/>
    <col min="5129" max="5130" width="12.140625" style="15" bestFit="1" customWidth="1"/>
    <col min="5131" max="5131" width="11.85546875" style="15" bestFit="1" customWidth="1"/>
    <col min="5132" max="5132" width="12.140625" style="15" bestFit="1" customWidth="1"/>
    <col min="5133" max="5133" width="12" style="15" bestFit="1" customWidth="1"/>
    <col min="5134" max="5134" width="18.7109375" style="15" bestFit="1" customWidth="1"/>
    <col min="5135" max="5376" width="11.42578125" style="15"/>
    <col min="5377" max="5377" width="8.85546875" style="15" bestFit="1" customWidth="1"/>
    <col min="5378" max="5378" width="10.140625" style="15" bestFit="1" customWidth="1"/>
    <col min="5379" max="5379" width="12.140625" style="15" bestFit="1" customWidth="1"/>
    <col min="5380" max="5380" width="4.5703125" style="15" bestFit="1" customWidth="1"/>
    <col min="5381" max="5381" width="11.28515625" style="15" bestFit="1" customWidth="1"/>
    <col min="5382" max="5382" width="13.28515625" style="15" bestFit="1" customWidth="1"/>
    <col min="5383" max="5383" width="12.140625" style="15" bestFit="1" customWidth="1"/>
    <col min="5384" max="5384" width="14.5703125" style="15" customWidth="1"/>
    <col min="5385" max="5386" width="12.140625" style="15" bestFit="1" customWidth="1"/>
    <col min="5387" max="5387" width="11.85546875" style="15" bestFit="1" customWidth="1"/>
    <col min="5388" max="5388" width="12.140625" style="15" bestFit="1" customWidth="1"/>
    <col min="5389" max="5389" width="12" style="15" bestFit="1" customWidth="1"/>
    <col min="5390" max="5390" width="18.7109375" style="15" bestFit="1" customWidth="1"/>
    <col min="5391" max="5632" width="11.42578125" style="15"/>
    <col min="5633" max="5633" width="8.85546875" style="15" bestFit="1" customWidth="1"/>
    <col min="5634" max="5634" width="10.140625" style="15" bestFit="1" customWidth="1"/>
    <col min="5635" max="5635" width="12.140625" style="15" bestFit="1" customWidth="1"/>
    <col min="5636" max="5636" width="4.5703125" style="15" bestFit="1" customWidth="1"/>
    <col min="5637" max="5637" width="11.28515625" style="15" bestFit="1" customWidth="1"/>
    <col min="5638" max="5638" width="13.28515625" style="15" bestFit="1" customWidth="1"/>
    <col min="5639" max="5639" width="12.140625" style="15" bestFit="1" customWidth="1"/>
    <col min="5640" max="5640" width="14.5703125" style="15" customWidth="1"/>
    <col min="5641" max="5642" width="12.140625" style="15" bestFit="1" customWidth="1"/>
    <col min="5643" max="5643" width="11.85546875" style="15" bestFit="1" customWidth="1"/>
    <col min="5644" max="5644" width="12.140625" style="15" bestFit="1" customWidth="1"/>
    <col min="5645" max="5645" width="12" style="15" bestFit="1" customWidth="1"/>
    <col min="5646" max="5646" width="18.7109375" style="15" bestFit="1" customWidth="1"/>
    <col min="5647" max="5888" width="11.42578125" style="15"/>
    <col min="5889" max="5889" width="8.85546875" style="15" bestFit="1" customWidth="1"/>
    <col min="5890" max="5890" width="10.140625" style="15" bestFit="1" customWidth="1"/>
    <col min="5891" max="5891" width="12.140625" style="15" bestFit="1" customWidth="1"/>
    <col min="5892" max="5892" width="4.5703125" style="15" bestFit="1" customWidth="1"/>
    <col min="5893" max="5893" width="11.28515625" style="15" bestFit="1" customWidth="1"/>
    <col min="5894" max="5894" width="13.28515625" style="15" bestFit="1" customWidth="1"/>
    <col min="5895" max="5895" width="12.140625" style="15" bestFit="1" customWidth="1"/>
    <col min="5896" max="5896" width="14.5703125" style="15" customWidth="1"/>
    <col min="5897" max="5898" width="12.140625" style="15" bestFit="1" customWidth="1"/>
    <col min="5899" max="5899" width="11.85546875" style="15" bestFit="1" customWidth="1"/>
    <col min="5900" max="5900" width="12.140625" style="15" bestFit="1" customWidth="1"/>
    <col min="5901" max="5901" width="12" style="15" bestFit="1" customWidth="1"/>
    <col min="5902" max="5902" width="18.7109375" style="15" bestFit="1" customWidth="1"/>
    <col min="5903" max="6144" width="11.42578125" style="15"/>
    <col min="6145" max="6145" width="8.85546875" style="15" bestFit="1" customWidth="1"/>
    <col min="6146" max="6146" width="10.140625" style="15" bestFit="1" customWidth="1"/>
    <col min="6147" max="6147" width="12.140625" style="15" bestFit="1" customWidth="1"/>
    <col min="6148" max="6148" width="4.5703125" style="15" bestFit="1" customWidth="1"/>
    <col min="6149" max="6149" width="11.28515625" style="15" bestFit="1" customWidth="1"/>
    <col min="6150" max="6150" width="13.28515625" style="15" bestFit="1" customWidth="1"/>
    <col min="6151" max="6151" width="12.140625" style="15" bestFit="1" customWidth="1"/>
    <col min="6152" max="6152" width="14.5703125" style="15" customWidth="1"/>
    <col min="6153" max="6154" width="12.140625" style="15" bestFit="1" customWidth="1"/>
    <col min="6155" max="6155" width="11.85546875" style="15" bestFit="1" customWidth="1"/>
    <col min="6156" max="6156" width="12.140625" style="15" bestFit="1" customWidth="1"/>
    <col min="6157" max="6157" width="12" style="15" bestFit="1" customWidth="1"/>
    <col min="6158" max="6158" width="18.7109375" style="15" bestFit="1" customWidth="1"/>
    <col min="6159" max="6400" width="11.42578125" style="15"/>
    <col min="6401" max="6401" width="8.85546875" style="15" bestFit="1" customWidth="1"/>
    <col min="6402" max="6402" width="10.140625" style="15" bestFit="1" customWidth="1"/>
    <col min="6403" max="6403" width="12.140625" style="15" bestFit="1" customWidth="1"/>
    <col min="6404" max="6404" width="4.5703125" style="15" bestFit="1" customWidth="1"/>
    <col min="6405" max="6405" width="11.28515625" style="15" bestFit="1" customWidth="1"/>
    <col min="6406" max="6406" width="13.28515625" style="15" bestFit="1" customWidth="1"/>
    <col min="6407" max="6407" width="12.140625" style="15" bestFit="1" customWidth="1"/>
    <col min="6408" max="6408" width="14.5703125" style="15" customWidth="1"/>
    <col min="6409" max="6410" width="12.140625" style="15" bestFit="1" customWidth="1"/>
    <col min="6411" max="6411" width="11.85546875" style="15" bestFit="1" customWidth="1"/>
    <col min="6412" max="6412" width="12.140625" style="15" bestFit="1" customWidth="1"/>
    <col min="6413" max="6413" width="12" style="15" bestFit="1" customWidth="1"/>
    <col min="6414" max="6414" width="18.7109375" style="15" bestFit="1" customWidth="1"/>
    <col min="6415" max="6656" width="11.42578125" style="15"/>
    <col min="6657" max="6657" width="8.85546875" style="15" bestFit="1" customWidth="1"/>
    <col min="6658" max="6658" width="10.140625" style="15" bestFit="1" customWidth="1"/>
    <col min="6659" max="6659" width="12.140625" style="15" bestFit="1" customWidth="1"/>
    <col min="6660" max="6660" width="4.5703125" style="15" bestFit="1" customWidth="1"/>
    <col min="6661" max="6661" width="11.28515625" style="15" bestFit="1" customWidth="1"/>
    <col min="6662" max="6662" width="13.28515625" style="15" bestFit="1" customWidth="1"/>
    <col min="6663" max="6663" width="12.140625" style="15" bestFit="1" customWidth="1"/>
    <col min="6664" max="6664" width="14.5703125" style="15" customWidth="1"/>
    <col min="6665" max="6666" width="12.140625" style="15" bestFit="1" customWidth="1"/>
    <col min="6667" max="6667" width="11.85546875" style="15" bestFit="1" customWidth="1"/>
    <col min="6668" max="6668" width="12.140625" style="15" bestFit="1" customWidth="1"/>
    <col min="6669" max="6669" width="12" style="15" bestFit="1" customWidth="1"/>
    <col min="6670" max="6670" width="18.7109375" style="15" bestFit="1" customWidth="1"/>
    <col min="6671" max="6912" width="11.42578125" style="15"/>
    <col min="6913" max="6913" width="8.85546875" style="15" bestFit="1" customWidth="1"/>
    <col min="6914" max="6914" width="10.140625" style="15" bestFit="1" customWidth="1"/>
    <col min="6915" max="6915" width="12.140625" style="15" bestFit="1" customWidth="1"/>
    <col min="6916" max="6916" width="4.5703125" style="15" bestFit="1" customWidth="1"/>
    <col min="6917" max="6917" width="11.28515625" style="15" bestFit="1" customWidth="1"/>
    <col min="6918" max="6918" width="13.28515625" style="15" bestFit="1" customWidth="1"/>
    <col min="6919" max="6919" width="12.140625" style="15" bestFit="1" customWidth="1"/>
    <col min="6920" max="6920" width="14.5703125" style="15" customWidth="1"/>
    <col min="6921" max="6922" width="12.140625" style="15" bestFit="1" customWidth="1"/>
    <col min="6923" max="6923" width="11.85546875" style="15" bestFit="1" customWidth="1"/>
    <col min="6924" max="6924" width="12.140625" style="15" bestFit="1" customWidth="1"/>
    <col min="6925" max="6925" width="12" style="15" bestFit="1" customWidth="1"/>
    <col min="6926" max="6926" width="18.7109375" style="15" bestFit="1" customWidth="1"/>
    <col min="6927" max="7168" width="11.42578125" style="15"/>
    <col min="7169" max="7169" width="8.85546875" style="15" bestFit="1" customWidth="1"/>
    <col min="7170" max="7170" width="10.140625" style="15" bestFit="1" customWidth="1"/>
    <col min="7171" max="7171" width="12.140625" style="15" bestFit="1" customWidth="1"/>
    <col min="7172" max="7172" width="4.5703125" style="15" bestFit="1" customWidth="1"/>
    <col min="7173" max="7173" width="11.28515625" style="15" bestFit="1" customWidth="1"/>
    <col min="7174" max="7174" width="13.28515625" style="15" bestFit="1" customWidth="1"/>
    <col min="7175" max="7175" width="12.140625" style="15" bestFit="1" customWidth="1"/>
    <col min="7176" max="7176" width="14.5703125" style="15" customWidth="1"/>
    <col min="7177" max="7178" width="12.140625" style="15" bestFit="1" customWidth="1"/>
    <col min="7179" max="7179" width="11.85546875" style="15" bestFit="1" customWidth="1"/>
    <col min="7180" max="7180" width="12.140625" style="15" bestFit="1" customWidth="1"/>
    <col min="7181" max="7181" width="12" style="15" bestFit="1" customWidth="1"/>
    <col min="7182" max="7182" width="18.7109375" style="15" bestFit="1" customWidth="1"/>
    <col min="7183" max="7424" width="11.42578125" style="15"/>
    <col min="7425" max="7425" width="8.85546875" style="15" bestFit="1" customWidth="1"/>
    <col min="7426" max="7426" width="10.140625" style="15" bestFit="1" customWidth="1"/>
    <col min="7427" max="7427" width="12.140625" style="15" bestFit="1" customWidth="1"/>
    <col min="7428" max="7428" width="4.5703125" style="15" bestFit="1" customWidth="1"/>
    <col min="7429" max="7429" width="11.28515625" style="15" bestFit="1" customWidth="1"/>
    <col min="7430" max="7430" width="13.28515625" style="15" bestFit="1" customWidth="1"/>
    <col min="7431" max="7431" width="12.140625" style="15" bestFit="1" customWidth="1"/>
    <col min="7432" max="7432" width="14.5703125" style="15" customWidth="1"/>
    <col min="7433" max="7434" width="12.140625" style="15" bestFit="1" customWidth="1"/>
    <col min="7435" max="7435" width="11.85546875" style="15" bestFit="1" customWidth="1"/>
    <col min="7436" max="7436" width="12.140625" style="15" bestFit="1" customWidth="1"/>
    <col min="7437" max="7437" width="12" style="15" bestFit="1" customWidth="1"/>
    <col min="7438" max="7438" width="18.7109375" style="15" bestFit="1" customWidth="1"/>
    <col min="7439" max="7680" width="11.42578125" style="15"/>
    <col min="7681" max="7681" width="8.85546875" style="15" bestFit="1" customWidth="1"/>
    <col min="7682" max="7682" width="10.140625" style="15" bestFit="1" customWidth="1"/>
    <col min="7683" max="7683" width="12.140625" style="15" bestFit="1" customWidth="1"/>
    <col min="7684" max="7684" width="4.5703125" style="15" bestFit="1" customWidth="1"/>
    <col min="7685" max="7685" width="11.28515625" style="15" bestFit="1" customWidth="1"/>
    <col min="7686" max="7686" width="13.28515625" style="15" bestFit="1" customWidth="1"/>
    <col min="7687" max="7687" width="12.140625" style="15" bestFit="1" customWidth="1"/>
    <col min="7688" max="7688" width="14.5703125" style="15" customWidth="1"/>
    <col min="7689" max="7690" width="12.140625" style="15" bestFit="1" customWidth="1"/>
    <col min="7691" max="7691" width="11.85546875" style="15" bestFit="1" customWidth="1"/>
    <col min="7692" max="7692" width="12.140625" style="15" bestFit="1" customWidth="1"/>
    <col min="7693" max="7693" width="12" style="15" bestFit="1" customWidth="1"/>
    <col min="7694" max="7694" width="18.7109375" style="15" bestFit="1" customWidth="1"/>
    <col min="7695" max="7936" width="11.42578125" style="15"/>
    <col min="7937" max="7937" width="8.85546875" style="15" bestFit="1" customWidth="1"/>
    <col min="7938" max="7938" width="10.140625" style="15" bestFit="1" customWidth="1"/>
    <col min="7939" max="7939" width="12.140625" style="15" bestFit="1" customWidth="1"/>
    <col min="7940" max="7940" width="4.5703125" style="15" bestFit="1" customWidth="1"/>
    <col min="7941" max="7941" width="11.28515625" style="15" bestFit="1" customWidth="1"/>
    <col min="7942" max="7942" width="13.28515625" style="15" bestFit="1" customWidth="1"/>
    <col min="7943" max="7943" width="12.140625" style="15" bestFit="1" customWidth="1"/>
    <col min="7944" max="7944" width="14.5703125" style="15" customWidth="1"/>
    <col min="7945" max="7946" width="12.140625" style="15" bestFit="1" customWidth="1"/>
    <col min="7947" max="7947" width="11.85546875" style="15" bestFit="1" customWidth="1"/>
    <col min="7948" max="7948" width="12.140625" style="15" bestFit="1" customWidth="1"/>
    <col min="7949" max="7949" width="12" style="15" bestFit="1" customWidth="1"/>
    <col min="7950" max="7950" width="18.7109375" style="15" bestFit="1" customWidth="1"/>
    <col min="7951" max="8192" width="11.42578125" style="15"/>
    <col min="8193" max="8193" width="8.85546875" style="15" bestFit="1" customWidth="1"/>
    <col min="8194" max="8194" width="10.140625" style="15" bestFit="1" customWidth="1"/>
    <col min="8195" max="8195" width="12.140625" style="15" bestFit="1" customWidth="1"/>
    <col min="8196" max="8196" width="4.5703125" style="15" bestFit="1" customWidth="1"/>
    <col min="8197" max="8197" width="11.28515625" style="15" bestFit="1" customWidth="1"/>
    <col min="8198" max="8198" width="13.28515625" style="15" bestFit="1" customWidth="1"/>
    <col min="8199" max="8199" width="12.140625" style="15" bestFit="1" customWidth="1"/>
    <col min="8200" max="8200" width="14.5703125" style="15" customWidth="1"/>
    <col min="8201" max="8202" width="12.140625" style="15" bestFit="1" customWidth="1"/>
    <col min="8203" max="8203" width="11.85546875" style="15" bestFit="1" customWidth="1"/>
    <col min="8204" max="8204" width="12.140625" style="15" bestFit="1" customWidth="1"/>
    <col min="8205" max="8205" width="12" style="15" bestFit="1" customWidth="1"/>
    <col min="8206" max="8206" width="18.7109375" style="15" bestFit="1" customWidth="1"/>
    <col min="8207" max="8448" width="11.42578125" style="15"/>
    <col min="8449" max="8449" width="8.85546875" style="15" bestFit="1" customWidth="1"/>
    <col min="8450" max="8450" width="10.140625" style="15" bestFit="1" customWidth="1"/>
    <col min="8451" max="8451" width="12.140625" style="15" bestFit="1" customWidth="1"/>
    <col min="8452" max="8452" width="4.5703125" style="15" bestFit="1" customWidth="1"/>
    <col min="8453" max="8453" width="11.28515625" style="15" bestFit="1" customWidth="1"/>
    <col min="8454" max="8454" width="13.28515625" style="15" bestFit="1" customWidth="1"/>
    <col min="8455" max="8455" width="12.140625" style="15" bestFit="1" customWidth="1"/>
    <col min="8456" max="8456" width="14.5703125" style="15" customWidth="1"/>
    <col min="8457" max="8458" width="12.140625" style="15" bestFit="1" customWidth="1"/>
    <col min="8459" max="8459" width="11.85546875" style="15" bestFit="1" customWidth="1"/>
    <col min="8460" max="8460" width="12.140625" style="15" bestFit="1" customWidth="1"/>
    <col min="8461" max="8461" width="12" style="15" bestFit="1" customWidth="1"/>
    <col min="8462" max="8462" width="18.7109375" style="15" bestFit="1" customWidth="1"/>
    <col min="8463" max="8704" width="11.42578125" style="15"/>
    <col min="8705" max="8705" width="8.85546875" style="15" bestFit="1" customWidth="1"/>
    <col min="8706" max="8706" width="10.140625" style="15" bestFit="1" customWidth="1"/>
    <col min="8707" max="8707" width="12.140625" style="15" bestFit="1" customWidth="1"/>
    <col min="8708" max="8708" width="4.5703125" style="15" bestFit="1" customWidth="1"/>
    <col min="8709" max="8709" width="11.28515625" style="15" bestFit="1" customWidth="1"/>
    <col min="8710" max="8710" width="13.28515625" style="15" bestFit="1" customWidth="1"/>
    <col min="8711" max="8711" width="12.140625" style="15" bestFit="1" customWidth="1"/>
    <col min="8712" max="8712" width="14.5703125" style="15" customWidth="1"/>
    <col min="8713" max="8714" width="12.140625" style="15" bestFit="1" customWidth="1"/>
    <col min="8715" max="8715" width="11.85546875" style="15" bestFit="1" customWidth="1"/>
    <col min="8716" max="8716" width="12.140625" style="15" bestFit="1" customWidth="1"/>
    <col min="8717" max="8717" width="12" style="15" bestFit="1" customWidth="1"/>
    <col min="8718" max="8718" width="18.7109375" style="15" bestFit="1" customWidth="1"/>
    <col min="8719" max="8960" width="11.42578125" style="15"/>
    <col min="8961" max="8961" width="8.85546875" style="15" bestFit="1" customWidth="1"/>
    <col min="8962" max="8962" width="10.140625" style="15" bestFit="1" customWidth="1"/>
    <col min="8963" max="8963" width="12.140625" style="15" bestFit="1" customWidth="1"/>
    <col min="8964" max="8964" width="4.5703125" style="15" bestFit="1" customWidth="1"/>
    <col min="8965" max="8965" width="11.28515625" style="15" bestFit="1" customWidth="1"/>
    <col min="8966" max="8966" width="13.28515625" style="15" bestFit="1" customWidth="1"/>
    <col min="8967" max="8967" width="12.140625" style="15" bestFit="1" customWidth="1"/>
    <col min="8968" max="8968" width="14.5703125" style="15" customWidth="1"/>
    <col min="8969" max="8970" width="12.140625" style="15" bestFit="1" customWidth="1"/>
    <col min="8971" max="8971" width="11.85546875" style="15" bestFit="1" customWidth="1"/>
    <col min="8972" max="8972" width="12.140625" style="15" bestFit="1" customWidth="1"/>
    <col min="8973" max="8973" width="12" style="15" bestFit="1" customWidth="1"/>
    <col min="8974" max="8974" width="18.7109375" style="15" bestFit="1" customWidth="1"/>
    <col min="8975" max="9216" width="11.42578125" style="15"/>
    <col min="9217" max="9217" width="8.85546875" style="15" bestFit="1" customWidth="1"/>
    <col min="9218" max="9218" width="10.140625" style="15" bestFit="1" customWidth="1"/>
    <col min="9219" max="9219" width="12.140625" style="15" bestFit="1" customWidth="1"/>
    <col min="9220" max="9220" width="4.5703125" style="15" bestFit="1" customWidth="1"/>
    <col min="9221" max="9221" width="11.28515625" style="15" bestFit="1" customWidth="1"/>
    <col min="9222" max="9222" width="13.28515625" style="15" bestFit="1" customWidth="1"/>
    <col min="9223" max="9223" width="12.140625" style="15" bestFit="1" customWidth="1"/>
    <col min="9224" max="9224" width="14.5703125" style="15" customWidth="1"/>
    <col min="9225" max="9226" width="12.140625" style="15" bestFit="1" customWidth="1"/>
    <col min="9227" max="9227" width="11.85546875" style="15" bestFit="1" customWidth="1"/>
    <col min="9228" max="9228" width="12.140625" style="15" bestFit="1" customWidth="1"/>
    <col min="9229" max="9229" width="12" style="15" bestFit="1" customWidth="1"/>
    <col min="9230" max="9230" width="18.7109375" style="15" bestFit="1" customWidth="1"/>
    <col min="9231" max="9472" width="11.42578125" style="15"/>
    <col min="9473" max="9473" width="8.85546875" style="15" bestFit="1" customWidth="1"/>
    <col min="9474" max="9474" width="10.140625" style="15" bestFit="1" customWidth="1"/>
    <col min="9475" max="9475" width="12.140625" style="15" bestFit="1" customWidth="1"/>
    <col min="9476" max="9476" width="4.5703125" style="15" bestFit="1" customWidth="1"/>
    <col min="9477" max="9477" width="11.28515625" style="15" bestFit="1" customWidth="1"/>
    <col min="9478" max="9478" width="13.28515625" style="15" bestFit="1" customWidth="1"/>
    <col min="9479" max="9479" width="12.140625" style="15" bestFit="1" customWidth="1"/>
    <col min="9480" max="9480" width="14.5703125" style="15" customWidth="1"/>
    <col min="9481" max="9482" width="12.140625" style="15" bestFit="1" customWidth="1"/>
    <col min="9483" max="9483" width="11.85546875" style="15" bestFit="1" customWidth="1"/>
    <col min="9484" max="9484" width="12.140625" style="15" bestFit="1" customWidth="1"/>
    <col min="9485" max="9485" width="12" style="15" bestFit="1" customWidth="1"/>
    <col min="9486" max="9486" width="18.7109375" style="15" bestFit="1" customWidth="1"/>
    <col min="9487" max="9728" width="11.42578125" style="15"/>
    <col min="9729" max="9729" width="8.85546875" style="15" bestFit="1" customWidth="1"/>
    <col min="9730" max="9730" width="10.140625" style="15" bestFit="1" customWidth="1"/>
    <col min="9731" max="9731" width="12.140625" style="15" bestFit="1" customWidth="1"/>
    <col min="9732" max="9732" width="4.5703125" style="15" bestFit="1" customWidth="1"/>
    <col min="9733" max="9733" width="11.28515625" style="15" bestFit="1" customWidth="1"/>
    <col min="9734" max="9734" width="13.28515625" style="15" bestFit="1" customWidth="1"/>
    <col min="9735" max="9735" width="12.140625" style="15" bestFit="1" customWidth="1"/>
    <col min="9736" max="9736" width="14.5703125" style="15" customWidth="1"/>
    <col min="9737" max="9738" width="12.140625" style="15" bestFit="1" customWidth="1"/>
    <col min="9739" max="9739" width="11.85546875" style="15" bestFit="1" customWidth="1"/>
    <col min="9740" max="9740" width="12.140625" style="15" bestFit="1" customWidth="1"/>
    <col min="9741" max="9741" width="12" style="15" bestFit="1" customWidth="1"/>
    <col min="9742" max="9742" width="18.7109375" style="15" bestFit="1" customWidth="1"/>
    <col min="9743" max="9984" width="11.42578125" style="15"/>
    <col min="9985" max="9985" width="8.85546875" style="15" bestFit="1" customWidth="1"/>
    <col min="9986" max="9986" width="10.140625" style="15" bestFit="1" customWidth="1"/>
    <col min="9987" max="9987" width="12.140625" style="15" bestFit="1" customWidth="1"/>
    <col min="9988" max="9988" width="4.5703125" style="15" bestFit="1" customWidth="1"/>
    <col min="9989" max="9989" width="11.28515625" style="15" bestFit="1" customWidth="1"/>
    <col min="9990" max="9990" width="13.28515625" style="15" bestFit="1" customWidth="1"/>
    <col min="9991" max="9991" width="12.140625" style="15" bestFit="1" customWidth="1"/>
    <col min="9992" max="9992" width="14.5703125" style="15" customWidth="1"/>
    <col min="9993" max="9994" width="12.140625" style="15" bestFit="1" customWidth="1"/>
    <col min="9995" max="9995" width="11.85546875" style="15" bestFit="1" customWidth="1"/>
    <col min="9996" max="9996" width="12.140625" style="15" bestFit="1" customWidth="1"/>
    <col min="9997" max="9997" width="12" style="15" bestFit="1" customWidth="1"/>
    <col min="9998" max="9998" width="18.7109375" style="15" bestFit="1" customWidth="1"/>
    <col min="9999" max="10240" width="11.42578125" style="15"/>
    <col min="10241" max="10241" width="8.85546875" style="15" bestFit="1" customWidth="1"/>
    <col min="10242" max="10242" width="10.140625" style="15" bestFit="1" customWidth="1"/>
    <col min="10243" max="10243" width="12.140625" style="15" bestFit="1" customWidth="1"/>
    <col min="10244" max="10244" width="4.5703125" style="15" bestFit="1" customWidth="1"/>
    <col min="10245" max="10245" width="11.28515625" style="15" bestFit="1" customWidth="1"/>
    <col min="10246" max="10246" width="13.28515625" style="15" bestFit="1" customWidth="1"/>
    <col min="10247" max="10247" width="12.140625" style="15" bestFit="1" customWidth="1"/>
    <col min="10248" max="10248" width="14.5703125" style="15" customWidth="1"/>
    <col min="10249" max="10250" width="12.140625" style="15" bestFit="1" customWidth="1"/>
    <col min="10251" max="10251" width="11.85546875" style="15" bestFit="1" customWidth="1"/>
    <col min="10252" max="10252" width="12.140625" style="15" bestFit="1" customWidth="1"/>
    <col min="10253" max="10253" width="12" style="15" bestFit="1" customWidth="1"/>
    <col min="10254" max="10254" width="18.7109375" style="15" bestFit="1" customWidth="1"/>
    <col min="10255" max="10496" width="11.42578125" style="15"/>
    <col min="10497" max="10497" width="8.85546875" style="15" bestFit="1" customWidth="1"/>
    <col min="10498" max="10498" width="10.140625" style="15" bestFit="1" customWidth="1"/>
    <col min="10499" max="10499" width="12.140625" style="15" bestFit="1" customWidth="1"/>
    <col min="10500" max="10500" width="4.5703125" style="15" bestFit="1" customWidth="1"/>
    <col min="10501" max="10501" width="11.28515625" style="15" bestFit="1" customWidth="1"/>
    <col min="10502" max="10502" width="13.28515625" style="15" bestFit="1" customWidth="1"/>
    <col min="10503" max="10503" width="12.140625" style="15" bestFit="1" customWidth="1"/>
    <col min="10504" max="10504" width="14.5703125" style="15" customWidth="1"/>
    <col min="10505" max="10506" width="12.140625" style="15" bestFit="1" customWidth="1"/>
    <col min="10507" max="10507" width="11.85546875" style="15" bestFit="1" customWidth="1"/>
    <col min="10508" max="10508" width="12.140625" style="15" bestFit="1" customWidth="1"/>
    <col min="10509" max="10509" width="12" style="15" bestFit="1" customWidth="1"/>
    <col min="10510" max="10510" width="18.7109375" style="15" bestFit="1" customWidth="1"/>
    <col min="10511" max="10752" width="11.42578125" style="15"/>
    <col min="10753" max="10753" width="8.85546875" style="15" bestFit="1" customWidth="1"/>
    <col min="10754" max="10754" width="10.140625" style="15" bestFit="1" customWidth="1"/>
    <col min="10755" max="10755" width="12.140625" style="15" bestFit="1" customWidth="1"/>
    <col min="10756" max="10756" width="4.5703125" style="15" bestFit="1" customWidth="1"/>
    <col min="10757" max="10757" width="11.28515625" style="15" bestFit="1" customWidth="1"/>
    <col min="10758" max="10758" width="13.28515625" style="15" bestFit="1" customWidth="1"/>
    <col min="10759" max="10759" width="12.140625" style="15" bestFit="1" customWidth="1"/>
    <col min="10760" max="10760" width="14.5703125" style="15" customWidth="1"/>
    <col min="10761" max="10762" width="12.140625" style="15" bestFit="1" customWidth="1"/>
    <col min="10763" max="10763" width="11.85546875" style="15" bestFit="1" customWidth="1"/>
    <col min="10764" max="10764" width="12.140625" style="15" bestFit="1" customWidth="1"/>
    <col min="10765" max="10765" width="12" style="15" bestFit="1" customWidth="1"/>
    <col min="10766" max="10766" width="18.7109375" style="15" bestFit="1" customWidth="1"/>
    <col min="10767" max="11008" width="11.42578125" style="15"/>
    <col min="11009" max="11009" width="8.85546875" style="15" bestFit="1" customWidth="1"/>
    <col min="11010" max="11010" width="10.140625" style="15" bestFit="1" customWidth="1"/>
    <col min="11011" max="11011" width="12.140625" style="15" bestFit="1" customWidth="1"/>
    <col min="11012" max="11012" width="4.5703125" style="15" bestFit="1" customWidth="1"/>
    <col min="11013" max="11013" width="11.28515625" style="15" bestFit="1" customWidth="1"/>
    <col min="11014" max="11014" width="13.28515625" style="15" bestFit="1" customWidth="1"/>
    <col min="11015" max="11015" width="12.140625" style="15" bestFit="1" customWidth="1"/>
    <col min="11016" max="11016" width="14.5703125" style="15" customWidth="1"/>
    <col min="11017" max="11018" width="12.140625" style="15" bestFit="1" customWidth="1"/>
    <col min="11019" max="11019" width="11.85546875" style="15" bestFit="1" customWidth="1"/>
    <col min="11020" max="11020" width="12.140625" style="15" bestFit="1" customWidth="1"/>
    <col min="11021" max="11021" width="12" style="15" bestFit="1" customWidth="1"/>
    <col min="11022" max="11022" width="18.7109375" style="15" bestFit="1" customWidth="1"/>
    <col min="11023" max="11264" width="11.42578125" style="15"/>
    <col min="11265" max="11265" width="8.85546875" style="15" bestFit="1" customWidth="1"/>
    <col min="11266" max="11266" width="10.140625" style="15" bestFit="1" customWidth="1"/>
    <col min="11267" max="11267" width="12.140625" style="15" bestFit="1" customWidth="1"/>
    <col min="11268" max="11268" width="4.5703125" style="15" bestFit="1" customWidth="1"/>
    <col min="11269" max="11269" width="11.28515625" style="15" bestFit="1" customWidth="1"/>
    <col min="11270" max="11270" width="13.28515625" style="15" bestFit="1" customWidth="1"/>
    <col min="11271" max="11271" width="12.140625" style="15" bestFit="1" customWidth="1"/>
    <col min="11272" max="11272" width="14.5703125" style="15" customWidth="1"/>
    <col min="11273" max="11274" width="12.140625" style="15" bestFit="1" customWidth="1"/>
    <col min="11275" max="11275" width="11.85546875" style="15" bestFit="1" customWidth="1"/>
    <col min="11276" max="11276" width="12.140625" style="15" bestFit="1" customWidth="1"/>
    <col min="11277" max="11277" width="12" style="15" bestFit="1" customWidth="1"/>
    <col min="11278" max="11278" width="18.7109375" style="15" bestFit="1" customWidth="1"/>
    <col min="11279" max="11520" width="11.42578125" style="15"/>
    <col min="11521" max="11521" width="8.85546875" style="15" bestFit="1" customWidth="1"/>
    <col min="11522" max="11522" width="10.140625" style="15" bestFit="1" customWidth="1"/>
    <col min="11523" max="11523" width="12.140625" style="15" bestFit="1" customWidth="1"/>
    <col min="11524" max="11524" width="4.5703125" style="15" bestFit="1" customWidth="1"/>
    <col min="11525" max="11525" width="11.28515625" style="15" bestFit="1" customWidth="1"/>
    <col min="11526" max="11526" width="13.28515625" style="15" bestFit="1" customWidth="1"/>
    <col min="11527" max="11527" width="12.140625" style="15" bestFit="1" customWidth="1"/>
    <col min="11528" max="11528" width="14.5703125" style="15" customWidth="1"/>
    <col min="11529" max="11530" width="12.140625" style="15" bestFit="1" customWidth="1"/>
    <col min="11531" max="11531" width="11.85546875" style="15" bestFit="1" customWidth="1"/>
    <col min="11532" max="11532" width="12.140625" style="15" bestFit="1" customWidth="1"/>
    <col min="11533" max="11533" width="12" style="15" bestFit="1" customWidth="1"/>
    <col min="11534" max="11534" width="18.7109375" style="15" bestFit="1" customWidth="1"/>
    <col min="11535" max="11776" width="11.42578125" style="15"/>
    <col min="11777" max="11777" width="8.85546875" style="15" bestFit="1" customWidth="1"/>
    <col min="11778" max="11778" width="10.140625" style="15" bestFit="1" customWidth="1"/>
    <col min="11779" max="11779" width="12.140625" style="15" bestFit="1" customWidth="1"/>
    <col min="11780" max="11780" width="4.5703125" style="15" bestFit="1" customWidth="1"/>
    <col min="11781" max="11781" width="11.28515625" style="15" bestFit="1" customWidth="1"/>
    <col min="11782" max="11782" width="13.28515625" style="15" bestFit="1" customWidth="1"/>
    <col min="11783" max="11783" width="12.140625" style="15" bestFit="1" customWidth="1"/>
    <col min="11784" max="11784" width="14.5703125" style="15" customWidth="1"/>
    <col min="11785" max="11786" width="12.140625" style="15" bestFit="1" customWidth="1"/>
    <col min="11787" max="11787" width="11.85546875" style="15" bestFit="1" customWidth="1"/>
    <col min="11788" max="11788" width="12.140625" style="15" bestFit="1" customWidth="1"/>
    <col min="11789" max="11789" width="12" style="15" bestFit="1" customWidth="1"/>
    <col min="11790" max="11790" width="18.7109375" style="15" bestFit="1" customWidth="1"/>
    <col min="11791" max="12032" width="11.42578125" style="15"/>
    <col min="12033" max="12033" width="8.85546875" style="15" bestFit="1" customWidth="1"/>
    <col min="12034" max="12034" width="10.140625" style="15" bestFit="1" customWidth="1"/>
    <col min="12035" max="12035" width="12.140625" style="15" bestFit="1" customWidth="1"/>
    <col min="12036" max="12036" width="4.5703125" style="15" bestFit="1" customWidth="1"/>
    <col min="12037" max="12037" width="11.28515625" style="15" bestFit="1" customWidth="1"/>
    <col min="12038" max="12038" width="13.28515625" style="15" bestFit="1" customWidth="1"/>
    <col min="12039" max="12039" width="12.140625" style="15" bestFit="1" customWidth="1"/>
    <col min="12040" max="12040" width="14.5703125" style="15" customWidth="1"/>
    <col min="12041" max="12042" width="12.140625" style="15" bestFit="1" customWidth="1"/>
    <col min="12043" max="12043" width="11.85546875" style="15" bestFit="1" customWidth="1"/>
    <col min="12044" max="12044" width="12.140625" style="15" bestFit="1" customWidth="1"/>
    <col min="12045" max="12045" width="12" style="15" bestFit="1" customWidth="1"/>
    <col min="12046" max="12046" width="18.7109375" style="15" bestFit="1" customWidth="1"/>
    <col min="12047" max="12288" width="11.42578125" style="15"/>
    <col min="12289" max="12289" width="8.85546875" style="15" bestFit="1" customWidth="1"/>
    <col min="12290" max="12290" width="10.140625" style="15" bestFit="1" customWidth="1"/>
    <col min="12291" max="12291" width="12.140625" style="15" bestFit="1" customWidth="1"/>
    <col min="12292" max="12292" width="4.5703125" style="15" bestFit="1" customWidth="1"/>
    <col min="12293" max="12293" width="11.28515625" style="15" bestFit="1" customWidth="1"/>
    <col min="12294" max="12294" width="13.28515625" style="15" bestFit="1" customWidth="1"/>
    <col min="12295" max="12295" width="12.140625" style="15" bestFit="1" customWidth="1"/>
    <col min="12296" max="12296" width="14.5703125" style="15" customWidth="1"/>
    <col min="12297" max="12298" width="12.140625" style="15" bestFit="1" customWidth="1"/>
    <col min="12299" max="12299" width="11.85546875" style="15" bestFit="1" customWidth="1"/>
    <col min="12300" max="12300" width="12.140625" style="15" bestFit="1" customWidth="1"/>
    <col min="12301" max="12301" width="12" style="15" bestFit="1" customWidth="1"/>
    <col min="12302" max="12302" width="18.7109375" style="15" bestFit="1" customWidth="1"/>
    <col min="12303" max="12544" width="11.42578125" style="15"/>
    <col min="12545" max="12545" width="8.85546875" style="15" bestFit="1" customWidth="1"/>
    <col min="12546" max="12546" width="10.140625" style="15" bestFit="1" customWidth="1"/>
    <col min="12547" max="12547" width="12.140625" style="15" bestFit="1" customWidth="1"/>
    <col min="12548" max="12548" width="4.5703125" style="15" bestFit="1" customWidth="1"/>
    <col min="12549" max="12549" width="11.28515625" style="15" bestFit="1" customWidth="1"/>
    <col min="12550" max="12550" width="13.28515625" style="15" bestFit="1" customWidth="1"/>
    <col min="12551" max="12551" width="12.140625" style="15" bestFit="1" customWidth="1"/>
    <col min="12552" max="12552" width="14.5703125" style="15" customWidth="1"/>
    <col min="12553" max="12554" width="12.140625" style="15" bestFit="1" customWidth="1"/>
    <col min="12555" max="12555" width="11.85546875" style="15" bestFit="1" customWidth="1"/>
    <col min="12556" max="12556" width="12.140625" style="15" bestFit="1" customWidth="1"/>
    <col min="12557" max="12557" width="12" style="15" bestFit="1" customWidth="1"/>
    <col min="12558" max="12558" width="18.7109375" style="15" bestFit="1" customWidth="1"/>
    <col min="12559" max="12800" width="11.42578125" style="15"/>
    <col min="12801" max="12801" width="8.85546875" style="15" bestFit="1" customWidth="1"/>
    <col min="12802" max="12802" width="10.140625" style="15" bestFit="1" customWidth="1"/>
    <col min="12803" max="12803" width="12.140625" style="15" bestFit="1" customWidth="1"/>
    <col min="12804" max="12804" width="4.5703125" style="15" bestFit="1" customWidth="1"/>
    <col min="12805" max="12805" width="11.28515625" style="15" bestFit="1" customWidth="1"/>
    <col min="12806" max="12806" width="13.28515625" style="15" bestFit="1" customWidth="1"/>
    <col min="12807" max="12807" width="12.140625" style="15" bestFit="1" customWidth="1"/>
    <col min="12808" max="12808" width="14.5703125" style="15" customWidth="1"/>
    <col min="12809" max="12810" width="12.140625" style="15" bestFit="1" customWidth="1"/>
    <col min="12811" max="12811" width="11.85546875" style="15" bestFit="1" customWidth="1"/>
    <col min="12812" max="12812" width="12.140625" style="15" bestFit="1" customWidth="1"/>
    <col min="12813" max="12813" width="12" style="15" bestFit="1" customWidth="1"/>
    <col min="12814" max="12814" width="18.7109375" style="15" bestFit="1" customWidth="1"/>
    <col min="12815" max="13056" width="11.42578125" style="15"/>
    <col min="13057" max="13057" width="8.85546875" style="15" bestFit="1" customWidth="1"/>
    <col min="13058" max="13058" width="10.140625" style="15" bestFit="1" customWidth="1"/>
    <col min="13059" max="13059" width="12.140625" style="15" bestFit="1" customWidth="1"/>
    <col min="13060" max="13060" width="4.5703125" style="15" bestFit="1" customWidth="1"/>
    <col min="13061" max="13061" width="11.28515625" style="15" bestFit="1" customWidth="1"/>
    <col min="13062" max="13062" width="13.28515625" style="15" bestFit="1" customWidth="1"/>
    <col min="13063" max="13063" width="12.140625" style="15" bestFit="1" customWidth="1"/>
    <col min="13064" max="13064" width="14.5703125" style="15" customWidth="1"/>
    <col min="13065" max="13066" width="12.140625" style="15" bestFit="1" customWidth="1"/>
    <col min="13067" max="13067" width="11.85546875" style="15" bestFit="1" customWidth="1"/>
    <col min="13068" max="13068" width="12.140625" style="15" bestFit="1" customWidth="1"/>
    <col min="13069" max="13069" width="12" style="15" bestFit="1" customWidth="1"/>
    <col min="13070" max="13070" width="18.7109375" style="15" bestFit="1" customWidth="1"/>
    <col min="13071" max="13312" width="11.42578125" style="15"/>
    <col min="13313" max="13313" width="8.85546875" style="15" bestFit="1" customWidth="1"/>
    <col min="13314" max="13314" width="10.140625" style="15" bestFit="1" customWidth="1"/>
    <col min="13315" max="13315" width="12.140625" style="15" bestFit="1" customWidth="1"/>
    <col min="13316" max="13316" width="4.5703125" style="15" bestFit="1" customWidth="1"/>
    <col min="13317" max="13317" width="11.28515625" style="15" bestFit="1" customWidth="1"/>
    <col min="13318" max="13318" width="13.28515625" style="15" bestFit="1" customWidth="1"/>
    <col min="13319" max="13319" width="12.140625" style="15" bestFit="1" customWidth="1"/>
    <col min="13320" max="13320" width="14.5703125" style="15" customWidth="1"/>
    <col min="13321" max="13322" width="12.140625" style="15" bestFit="1" customWidth="1"/>
    <col min="13323" max="13323" width="11.85546875" style="15" bestFit="1" customWidth="1"/>
    <col min="13324" max="13324" width="12.140625" style="15" bestFit="1" customWidth="1"/>
    <col min="13325" max="13325" width="12" style="15" bestFit="1" customWidth="1"/>
    <col min="13326" max="13326" width="18.7109375" style="15" bestFit="1" customWidth="1"/>
    <col min="13327" max="13568" width="11.42578125" style="15"/>
    <col min="13569" max="13569" width="8.85546875" style="15" bestFit="1" customWidth="1"/>
    <col min="13570" max="13570" width="10.140625" style="15" bestFit="1" customWidth="1"/>
    <col min="13571" max="13571" width="12.140625" style="15" bestFit="1" customWidth="1"/>
    <col min="13572" max="13572" width="4.5703125" style="15" bestFit="1" customWidth="1"/>
    <col min="13573" max="13573" width="11.28515625" style="15" bestFit="1" customWidth="1"/>
    <col min="13574" max="13574" width="13.28515625" style="15" bestFit="1" customWidth="1"/>
    <col min="13575" max="13575" width="12.140625" style="15" bestFit="1" customWidth="1"/>
    <col min="13576" max="13576" width="14.5703125" style="15" customWidth="1"/>
    <col min="13577" max="13578" width="12.140625" style="15" bestFit="1" customWidth="1"/>
    <col min="13579" max="13579" width="11.85546875" style="15" bestFit="1" customWidth="1"/>
    <col min="13580" max="13580" width="12.140625" style="15" bestFit="1" customWidth="1"/>
    <col min="13581" max="13581" width="12" style="15" bestFit="1" customWidth="1"/>
    <col min="13582" max="13582" width="18.7109375" style="15" bestFit="1" customWidth="1"/>
    <col min="13583" max="13824" width="11.42578125" style="15"/>
    <col min="13825" max="13825" width="8.85546875" style="15" bestFit="1" customWidth="1"/>
    <col min="13826" max="13826" width="10.140625" style="15" bestFit="1" customWidth="1"/>
    <col min="13827" max="13827" width="12.140625" style="15" bestFit="1" customWidth="1"/>
    <col min="13828" max="13828" width="4.5703125" style="15" bestFit="1" customWidth="1"/>
    <col min="13829" max="13829" width="11.28515625" style="15" bestFit="1" customWidth="1"/>
    <col min="13830" max="13830" width="13.28515625" style="15" bestFit="1" customWidth="1"/>
    <col min="13831" max="13831" width="12.140625" style="15" bestFit="1" customWidth="1"/>
    <col min="13832" max="13832" width="14.5703125" style="15" customWidth="1"/>
    <col min="13833" max="13834" width="12.140625" style="15" bestFit="1" customWidth="1"/>
    <col min="13835" max="13835" width="11.85546875" style="15" bestFit="1" customWidth="1"/>
    <col min="13836" max="13836" width="12.140625" style="15" bestFit="1" customWidth="1"/>
    <col min="13837" max="13837" width="12" style="15" bestFit="1" customWidth="1"/>
    <col min="13838" max="13838" width="18.7109375" style="15" bestFit="1" customWidth="1"/>
    <col min="13839" max="14080" width="11.42578125" style="15"/>
    <col min="14081" max="14081" width="8.85546875" style="15" bestFit="1" customWidth="1"/>
    <col min="14082" max="14082" width="10.140625" style="15" bestFit="1" customWidth="1"/>
    <col min="14083" max="14083" width="12.140625" style="15" bestFit="1" customWidth="1"/>
    <col min="14084" max="14084" width="4.5703125" style="15" bestFit="1" customWidth="1"/>
    <col min="14085" max="14085" width="11.28515625" style="15" bestFit="1" customWidth="1"/>
    <col min="14086" max="14086" width="13.28515625" style="15" bestFit="1" customWidth="1"/>
    <col min="14087" max="14087" width="12.140625" style="15" bestFit="1" customWidth="1"/>
    <col min="14088" max="14088" width="14.5703125" style="15" customWidth="1"/>
    <col min="14089" max="14090" width="12.140625" style="15" bestFit="1" customWidth="1"/>
    <col min="14091" max="14091" width="11.85546875" style="15" bestFit="1" customWidth="1"/>
    <col min="14092" max="14092" width="12.140625" style="15" bestFit="1" customWidth="1"/>
    <col min="14093" max="14093" width="12" style="15" bestFit="1" customWidth="1"/>
    <col min="14094" max="14094" width="18.7109375" style="15" bestFit="1" customWidth="1"/>
    <col min="14095" max="14336" width="11.42578125" style="15"/>
    <col min="14337" max="14337" width="8.85546875" style="15" bestFit="1" customWidth="1"/>
    <col min="14338" max="14338" width="10.140625" style="15" bestFit="1" customWidth="1"/>
    <col min="14339" max="14339" width="12.140625" style="15" bestFit="1" customWidth="1"/>
    <col min="14340" max="14340" width="4.5703125" style="15" bestFit="1" customWidth="1"/>
    <col min="14341" max="14341" width="11.28515625" style="15" bestFit="1" customWidth="1"/>
    <col min="14342" max="14342" width="13.28515625" style="15" bestFit="1" customWidth="1"/>
    <col min="14343" max="14343" width="12.140625" style="15" bestFit="1" customWidth="1"/>
    <col min="14344" max="14344" width="14.5703125" style="15" customWidth="1"/>
    <col min="14345" max="14346" width="12.140625" style="15" bestFit="1" customWidth="1"/>
    <col min="14347" max="14347" width="11.85546875" style="15" bestFit="1" customWidth="1"/>
    <col min="14348" max="14348" width="12.140625" style="15" bestFit="1" customWidth="1"/>
    <col min="14349" max="14349" width="12" style="15" bestFit="1" customWidth="1"/>
    <col min="14350" max="14350" width="18.7109375" style="15" bestFit="1" customWidth="1"/>
    <col min="14351" max="14592" width="11.42578125" style="15"/>
    <col min="14593" max="14593" width="8.85546875" style="15" bestFit="1" customWidth="1"/>
    <col min="14594" max="14594" width="10.140625" style="15" bestFit="1" customWidth="1"/>
    <col min="14595" max="14595" width="12.140625" style="15" bestFit="1" customWidth="1"/>
    <col min="14596" max="14596" width="4.5703125" style="15" bestFit="1" customWidth="1"/>
    <col min="14597" max="14597" width="11.28515625" style="15" bestFit="1" customWidth="1"/>
    <col min="14598" max="14598" width="13.28515625" style="15" bestFit="1" customWidth="1"/>
    <col min="14599" max="14599" width="12.140625" style="15" bestFit="1" customWidth="1"/>
    <col min="14600" max="14600" width="14.5703125" style="15" customWidth="1"/>
    <col min="14601" max="14602" width="12.140625" style="15" bestFit="1" customWidth="1"/>
    <col min="14603" max="14603" width="11.85546875" style="15" bestFit="1" customWidth="1"/>
    <col min="14604" max="14604" width="12.140625" style="15" bestFit="1" customWidth="1"/>
    <col min="14605" max="14605" width="12" style="15" bestFit="1" customWidth="1"/>
    <col min="14606" max="14606" width="18.7109375" style="15" bestFit="1" customWidth="1"/>
    <col min="14607" max="14848" width="11.42578125" style="15"/>
    <col min="14849" max="14849" width="8.85546875" style="15" bestFit="1" customWidth="1"/>
    <col min="14850" max="14850" width="10.140625" style="15" bestFit="1" customWidth="1"/>
    <col min="14851" max="14851" width="12.140625" style="15" bestFit="1" customWidth="1"/>
    <col min="14852" max="14852" width="4.5703125" style="15" bestFit="1" customWidth="1"/>
    <col min="14853" max="14853" width="11.28515625" style="15" bestFit="1" customWidth="1"/>
    <col min="14854" max="14854" width="13.28515625" style="15" bestFit="1" customWidth="1"/>
    <col min="14855" max="14855" width="12.140625" style="15" bestFit="1" customWidth="1"/>
    <col min="14856" max="14856" width="14.5703125" style="15" customWidth="1"/>
    <col min="14857" max="14858" width="12.140625" style="15" bestFit="1" customWidth="1"/>
    <col min="14859" max="14859" width="11.85546875" style="15" bestFit="1" customWidth="1"/>
    <col min="14860" max="14860" width="12.140625" style="15" bestFit="1" customWidth="1"/>
    <col min="14861" max="14861" width="12" style="15" bestFit="1" customWidth="1"/>
    <col min="14862" max="14862" width="18.7109375" style="15" bestFit="1" customWidth="1"/>
    <col min="14863" max="15104" width="11.42578125" style="15"/>
    <col min="15105" max="15105" width="8.85546875" style="15" bestFit="1" customWidth="1"/>
    <col min="15106" max="15106" width="10.140625" style="15" bestFit="1" customWidth="1"/>
    <col min="15107" max="15107" width="12.140625" style="15" bestFit="1" customWidth="1"/>
    <col min="15108" max="15108" width="4.5703125" style="15" bestFit="1" customWidth="1"/>
    <col min="15109" max="15109" width="11.28515625" style="15" bestFit="1" customWidth="1"/>
    <col min="15110" max="15110" width="13.28515625" style="15" bestFit="1" customWidth="1"/>
    <col min="15111" max="15111" width="12.140625" style="15" bestFit="1" customWidth="1"/>
    <col min="15112" max="15112" width="14.5703125" style="15" customWidth="1"/>
    <col min="15113" max="15114" width="12.140625" style="15" bestFit="1" customWidth="1"/>
    <col min="15115" max="15115" width="11.85546875" style="15" bestFit="1" customWidth="1"/>
    <col min="15116" max="15116" width="12.140625" style="15" bestFit="1" customWidth="1"/>
    <col min="15117" max="15117" width="12" style="15" bestFit="1" customWidth="1"/>
    <col min="15118" max="15118" width="18.7109375" style="15" bestFit="1" customWidth="1"/>
    <col min="15119" max="15360" width="11.42578125" style="15"/>
    <col min="15361" max="15361" width="8.85546875" style="15" bestFit="1" customWidth="1"/>
    <col min="15362" max="15362" width="10.140625" style="15" bestFit="1" customWidth="1"/>
    <col min="15363" max="15363" width="12.140625" style="15" bestFit="1" customWidth="1"/>
    <col min="15364" max="15364" width="4.5703125" style="15" bestFit="1" customWidth="1"/>
    <col min="15365" max="15365" width="11.28515625" style="15" bestFit="1" customWidth="1"/>
    <col min="15366" max="15366" width="13.28515625" style="15" bestFit="1" customWidth="1"/>
    <col min="15367" max="15367" width="12.140625" style="15" bestFit="1" customWidth="1"/>
    <col min="15368" max="15368" width="14.5703125" style="15" customWidth="1"/>
    <col min="15369" max="15370" width="12.140625" style="15" bestFit="1" customWidth="1"/>
    <col min="15371" max="15371" width="11.85546875" style="15" bestFit="1" customWidth="1"/>
    <col min="15372" max="15372" width="12.140625" style="15" bestFit="1" customWidth="1"/>
    <col min="15373" max="15373" width="12" style="15" bestFit="1" customWidth="1"/>
    <col min="15374" max="15374" width="18.7109375" style="15" bestFit="1" customWidth="1"/>
    <col min="15375" max="15616" width="11.42578125" style="15"/>
    <col min="15617" max="15617" width="8.85546875" style="15" bestFit="1" customWidth="1"/>
    <col min="15618" max="15618" width="10.140625" style="15" bestFit="1" customWidth="1"/>
    <col min="15619" max="15619" width="12.140625" style="15" bestFit="1" customWidth="1"/>
    <col min="15620" max="15620" width="4.5703125" style="15" bestFit="1" customWidth="1"/>
    <col min="15621" max="15621" width="11.28515625" style="15" bestFit="1" customWidth="1"/>
    <col min="15622" max="15622" width="13.28515625" style="15" bestFit="1" customWidth="1"/>
    <col min="15623" max="15623" width="12.140625" style="15" bestFit="1" customWidth="1"/>
    <col min="15624" max="15624" width="14.5703125" style="15" customWidth="1"/>
    <col min="15625" max="15626" width="12.140625" style="15" bestFit="1" customWidth="1"/>
    <col min="15627" max="15627" width="11.85546875" style="15" bestFit="1" customWidth="1"/>
    <col min="15628" max="15628" width="12.140625" style="15" bestFit="1" customWidth="1"/>
    <col min="15629" max="15629" width="12" style="15" bestFit="1" customWidth="1"/>
    <col min="15630" max="15630" width="18.7109375" style="15" bestFit="1" customWidth="1"/>
    <col min="15631" max="15872" width="11.42578125" style="15"/>
    <col min="15873" max="15873" width="8.85546875" style="15" bestFit="1" customWidth="1"/>
    <col min="15874" max="15874" width="10.140625" style="15" bestFit="1" customWidth="1"/>
    <col min="15875" max="15875" width="12.140625" style="15" bestFit="1" customWidth="1"/>
    <col min="15876" max="15876" width="4.5703125" style="15" bestFit="1" customWidth="1"/>
    <col min="15877" max="15877" width="11.28515625" style="15" bestFit="1" customWidth="1"/>
    <col min="15878" max="15878" width="13.28515625" style="15" bestFit="1" customWidth="1"/>
    <col min="15879" max="15879" width="12.140625" style="15" bestFit="1" customWidth="1"/>
    <col min="15880" max="15880" width="14.5703125" style="15" customWidth="1"/>
    <col min="15881" max="15882" width="12.140625" style="15" bestFit="1" customWidth="1"/>
    <col min="15883" max="15883" width="11.85546875" style="15" bestFit="1" customWidth="1"/>
    <col min="15884" max="15884" width="12.140625" style="15" bestFit="1" customWidth="1"/>
    <col min="15885" max="15885" width="12" style="15" bestFit="1" customWidth="1"/>
    <col min="15886" max="15886" width="18.7109375" style="15" bestFit="1" customWidth="1"/>
    <col min="15887" max="16128" width="11.42578125" style="15"/>
    <col min="16129" max="16129" width="8.85546875" style="15" bestFit="1" customWidth="1"/>
    <col min="16130" max="16130" width="10.140625" style="15" bestFit="1" customWidth="1"/>
    <col min="16131" max="16131" width="12.140625" style="15" bestFit="1" customWidth="1"/>
    <col min="16132" max="16132" width="4.5703125" style="15" bestFit="1" customWidth="1"/>
    <col min="16133" max="16133" width="11.28515625" style="15" bestFit="1" customWidth="1"/>
    <col min="16134" max="16134" width="13.28515625" style="15" bestFit="1" customWidth="1"/>
    <col min="16135" max="16135" width="12.140625" style="15" bestFit="1" customWidth="1"/>
    <col min="16136" max="16136" width="14.5703125" style="15" customWidth="1"/>
    <col min="16137" max="16138" width="12.140625" style="15" bestFit="1" customWidth="1"/>
    <col min="16139" max="16139" width="11.85546875" style="15" bestFit="1" customWidth="1"/>
    <col min="16140" max="16140" width="12.140625" style="15" bestFit="1" customWidth="1"/>
    <col min="16141" max="16141" width="12" style="15" bestFit="1" customWidth="1"/>
    <col min="16142" max="16142" width="18.7109375" style="15" bestFit="1" customWidth="1"/>
    <col min="16143" max="16384" width="11.42578125" style="15"/>
  </cols>
  <sheetData>
    <row r="1" spans="1:18" ht="13.5" thickBot="1" x14ac:dyDescent="0.25"/>
    <row r="2" spans="1:18" ht="13.5" thickBot="1" x14ac:dyDescent="0.25">
      <c r="A2" s="998" t="s">
        <v>0</v>
      </c>
      <c r="B2" s="996" t="s">
        <v>1</v>
      </c>
      <c r="C2" s="996"/>
      <c r="D2" s="996"/>
      <c r="E2" s="996"/>
      <c r="F2" s="996"/>
      <c r="G2" s="996"/>
      <c r="H2" s="997" t="s">
        <v>2</v>
      </c>
      <c r="I2" s="997"/>
      <c r="J2" s="997"/>
      <c r="K2" s="997" t="s">
        <v>3</v>
      </c>
      <c r="L2" s="997"/>
      <c r="M2" s="998" t="s">
        <v>4</v>
      </c>
    </row>
    <row r="3" spans="1:18" ht="13.5" thickBot="1" x14ac:dyDescent="0.25">
      <c r="A3" s="998"/>
      <c r="B3" s="379" t="s">
        <v>5</v>
      </c>
      <c r="C3" s="379" t="s">
        <v>6</v>
      </c>
      <c r="D3" s="379" t="s">
        <v>7</v>
      </c>
      <c r="E3" s="17" t="s">
        <v>8</v>
      </c>
      <c r="F3" s="16" t="s">
        <v>9</v>
      </c>
      <c r="G3" s="380" t="s">
        <v>10</v>
      </c>
      <c r="H3" s="16" t="s">
        <v>11</v>
      </c>
      <c r="I3" s="379" t="s">
        <v>12</v>
      </c>
      <c r="J3" s="380" t="s">
        <v>13</v>
      </c>
      <c r="K3" s="17" t="s">
        <v>11</v>
      </c>
      <c r="L3" s="380" t="s">
        <v>14</v>
      </c>
      <c r="M3" s="998"/>
    </row>
    <row r="4" spans="1:18" s="38" customFormat="1" ht="13.5" hidden="1" thickBot="1" x14ac:dyDescent="0.25">
      <c r="A4" s="115" t="s">
        <v>17</v>
      </c>
      <c r="B4" s="116" t="s">
        <v>18</v>
      </c>
      <c r="C4" s="117">
        <v>42338</v>
      </c>
      <c r="D4" s="118" t="s">
        <v>19</v>
      </c>
      <c r="E4" s="119">
        <v>185713.44</v>
      </c>
      <c r="F4" s="120">
        <f>+E4*2.0433</f>
        <v>379468.27195199998</v>
      </c>
      <c r="G4" s="121">
        <v>42459</v>
      </c>
      <c r="H4" s="122">
        <v>305000</v>
      </c>
      <c r="I4" s="117"/>
      <c r="J4" s="121">
        <f>+C4+90</f>
        <v>42428</v>
      </c>
      <c r="K4" s="123">
        <f>90414.1+83300*1.12825</f>
        <v>184397.32500000001</v>
      </c>
      <c r="L4" s="124"/>
      <c r="M4" s="125">
        <f t="shared" ref="M4:M17" si="0">E4-K4</f>
        <v>1316.1149999999907</v>
      </c>
      <c r="N4" s="182"/>
      <c r="O4" s="232"/>
      <c r="Q4" s="182"/>
      <c r="R4" s="182"/>
    </row>
    <row r="5" spans="1:18" s="38" customFormat="1" hidden="1" x14ac:dyDescent="0.2">
      <c r="A5" s="126" t="s">
        <v>21</v>
      </c>
      <c r="B5" s="127" t="s">
        <v>22</v>
      </c>
      <c r="C5" s="128">
        <v>42389</v>
      </c>
      <c r="D5" s="129" t="s">
        <v>19</v>
      </c>
      <c r="E5" s="130">
        <v>57547.5</v>
      </c>
      <c r="F5" s="131">
        <f>E5*2.0365</f>
        <v>117195.48375000001</v>
      </c>
      <c r="G5" s="132">
        <v>42479</v>
      </c>
      <c r="H5" s="133"/>
      <c r="I5" s="128"/>
      <c r="J5" s="132"/>
      <c r="K5" s="134">
        <v>57547.5</v>
      </c>
      <c r="L5" s="135"/>
      <c r="M5" s="136">
        <f t="shared" si="0"/>
        <v>0</v>
      </c>
      <c r="N5" s="182"/>
      <c r="O5" s="232"/>
      <c r="Q5" s="182"/>
      <c r="R5" s="182"/>
    </row>
    <row r="6" spans="1:18" s="38" customFormat="1" hidden="1" x14ac:dyDescent="0.2">
      <c r="A6" s="87" t="s">
        <v>15</v>
      </c>
      <c r="B6" s="88" t="s">
        <v>23</v>
      </c>
      <c r="C6" s="89">
        <v>42394</v>
      </c>
      <c r="D6" s="90" t="s">
        <v>19</v>
      </c>
      <c r="E6" s="91">
        <v>61973.64</v>
      </c>
      <c r="F6" s="92">
        <f>E6*2.03285</f>
        <v>125983.11407399998</v>
      </c>
      <c r="G6" s="93">
        <v>42484</v>
      </c>
      <c r="H6" s="94"/>
      <c r="I6" s="89"/>
      <c r="J6" s="93"/>
      <c r="K6" s="96">
        <v>61973.64</v>
      </c>
      <c r="L6" s="95"/>
      <c r="M6" s="97">
        <f t="shared" si="0"/>
        <v>0</v>
      </c>
      <c r="N6" s="182"/>
      <c r="O6" s="232"/>
      <c r="Q6" s="182"/>
      <c r="R6" s="182"/>
    </row>
    <row r="7" spans="1:18" s="38" customFormat="1" hidden="1" x14ac:dyDescent="0.2">
      <c r="A7" s="87" t="s">
        <v>15</v>
      </c>
      <c r="B7" s="88" t="s">
        <v>24</v>
      </c>
      <c r="C7" s="89">
        <v>42422</v>
      </c>
      <c r="D7" s="90" t="s">
        <v>19</v>
      </c>
      <c r="E7" s="91">
        <v>31260.71</v>
      </c>
      <c r="F7" s="92">
        <f>+E7*2.0168</f>
        <v>63046.599927999996</v>
      </c>
      <c r="G7" s="93">
        <f>+C7+90</f>
        <v>42512</v>
      </c>
      <c r="H7" s="94"/>
      <c r="I7" s="89"/>
      <c r="J7" s="93"/>
      <c r="K7" s="96">
        <v>31182.71</v>
      </c>
      <c r="L7" s="95"/>
      <c r="M7" s="97">
        <f t="shared" si="0"/>
        <v>78</v>
      </c>
      <c r="N7" s="182"/>
      <c r="O7" s="232"/>
      <c r="Q7" s="182"/>
      <c r="R7" s="182"/>
    </row>
    <row r="8" spans="1:18" s="38" customFormat="1" hidden="1" x14ac:dyDescent="0.2">
      <c r="A8" s="87" t="s">
        <v>17</v>
      </c>
      <c r="B8" s="88" t="s">
        <v>25</v>
      </c>
      <c r="C8" s="89">
        <v>42432</v>
      </c>
      <c r="D8" s="90" t="s">
        <v>19</v>
      </c>
      <c r="E8" s="91">
        <v>97110.5</v>
      </c>
      <c r="F8" s="92">
        <f>E8*2.02425</f>
        <v>196575.92962499999</v>
      </c>
      <c r="G8" s="93">
        <v>42567</v>
      </c>
      <c r="H8" s="94"/>
      <c r="I8" s="89"/>
      <c r="J8" s="93"/>
      <c r="K8" s="96">
        <f>12997+84054</f>
        <v>97051</v>
      </c>
      <c r="L8" s="95"/>
      <c r="M8" s="97">
        <f t="shared" si="0"/>
        <v>59.5</v>
      </c>
      <c r="N8" s="182"/>
      <c r="O8" s="232"/>
      <c r="Q8" s="182"/>
      <c r="R8" s="182"/>
    </row>
    <row r="9" spans="1:18" s="38" customFormat="1" hidden="1" x14ac:dyDescent="0.2">
      <c r="A9" s="87" t="s">
        <v>15</v>
      </c>
      <c r="B9" s="88" t="s">
        <v>39</v>
      </c>
      <c r="C9" s="89">
        <v>42445</v>
      </c>
      <c r="D9" s="90" t="s">
        <v>19</v>
      </c>
      <c r="E9" s="91">
        <v>17500.78</v>
      </c>
      <c r="F9" s="92">
        <f>+E9*2.01395</f>
        <v>35245.695881</v>
      </c>
      <c r="G9" s="93">
        <f>C9+90</f>
        <v>42535</v>
      </c>
      <c r="H9" s="94"/>
      <c r="I9" s="89"/>
      <c r="J9" s="93"/>
      <c r="K9" s="96">
        <v>17437.78</v>
      </c>
      <c r="L9" s="95"/>
      <c r="M9" s="97">
        <f t="shared" si="0"/>
        <v>63</v>
      </c>
      <c r="N9" s="182"/>
      <c r="O9" s="232"/>
      <c r="Q9" s="182"/>
      <c r="R9" s="182"/>
    </row>
    <row r="10" spans="1:18" s="38" customFormat="1" hidden="1" x14ac:dyDescent="0.2">
      <c r="A10" s="87" t="s">
        <v>17</v>
      </c>
      <c r="B10" s="88" t="s">
        <v>44</v>
      </c>
      <c r="C10" s="89">
        <v>42461</v>
      </c>
      <c r="D10" s="90" t="s">
        <v>19</v>
      </c>
      <c r="E10" s="91">
        <v>15887.8</v>
      </c>
      <c r="F10" s="92">
        <f>E10*1.98505</f>
        <v>31538.077389999999</v>
      </c>
      <c r="G10" s="93">
        <v>42585</v>
      </c>
      <c r="H10" s="94"/>
      <c r="I10" s="89"/>
      <c r="J10" s="93"/>
      <c r="K10" s="96">
        <f>2196.38+13625</f>
        <v>15821.380000000001</v>
      </c>
      <c r="L10" s="95"/>
      <c r="M10" s="97">
        <f t="shared" si="0"/>
        <v>66.419999999998254</v>
      </c>
      <c r="N10" s="182"/>
      <c r="O10" s="232"/>
      <c r="Q10" s="182"/>
      <c r="R10" s="182"/>
    </row>
    <row r="11" spans="1:18" s="38" customFormat="1" hidden="1" x14ac:dyDescent="0.2">
      <c r="A11" s="87" t="s">
        <v>15</v>
      </c>
      <c r="B11" s="88" t="s">
        <v>82</v>
      </c>
      <c r="C11" s="89">
        <v>42495</v>
      </c>
      <c r="D11" s="90" t="s">
        <v>19</v>
      </c>
      <c r="E11" s="91">
        <v>13784.67</v>
      </c>
      <c r="F11" s="92">
        <f>+E11*1.98675</f>
        <v>27386.693122500001</v>
      </c>
      <c r="G11" s="93">
        <f>+C11+90</f>
        <v>42585</v>
      </c>
      <c r="H11" s="94"/>
      <c r="I11" s="89"/>
      <c r="J11" s="93"/>
      <c r="K11" s="96">
        <v>13719.17</v>
      </c>
      <c r="L11" s="95"/>
      <c r="M11" s="97">
        <f t="shared" si="0"/>
        <v>65.5</v>
      </c>
      <c r="N11" s="182"/>
      <c r="O11" s="232"/>
      <c r="Q11" s="182"/>
      <c r="R11" s="182"/>
    </row>
    <row r="12" spans="1:18" hidden="1" x14ac:dyDescent="0.2">
      <c r="A12" s="149" t="s">
        <v>15</v>
      </c>
      <c r="B12" s="150" t="s">
        <v>83</v>
      </c>
      <c r="C12" s="151">
        <v>42495</v>
      </c>
      <c r="D12" s="152" t="s">
        <v>16</v>
      </c>
      <c r="E12" s="153">
        <v>58790.64</v>
      </c>
      <c r="F12" s="154">
        <f>+E12*2.2687</f>
        <v>133378.324968</v>
      </c>
      <c r="G12" s="157">
        <f>+C12+90</f>
        <v>42585</v>
      </c>
      <c r="H12" s="156"/>
      <c r="I12" s="151"/>
      <c r="J12" s="157"/>
      <c r="K12" s="158">
        <f>46740.64+11960</f>
        <v>58700.639999999999</v>
      </c>
      <c r="L12" s="159"/>
      <c r="M12" s="160">
        <f t="shared" si="0"/>
        <v>90</v>
      </c>
    </row>
    <row r="13" spans="1:18" s="38" customFormat="1" hidden="1" x14ac:dyDescent="0.2">
      <c r="A13" s="87" t="s">
        <v>17</v>
      </c>
      <c r="B13" s="88" t="s">
        <v>87</v>
      </c>
      <c r="C13" s="89">
        <v>42506</v>
      </c>
      <c r="D13" s="90" t="s">
        <v>19</v>
      </c>
      <c r="E13" s="91">
        <v>38827.5</v>
      </c>
      <c r="F13" s="92">
        <f>+E13*2.0226</f>
        <v>78532.501500000013</v>
      </c>
      <c r="G13" s="93">
        <v>42630</v>
      </c>
      <c r="H13" s="94"/>
      <c r="I13" s="89"/>
      <c r="J13" s="93"/>
      <c r="K13" s="96">
        <f>5188.54+33549.74</f>
        <v>38738.28</v>
      </c>
      <c r="L13" s="95"/>
      <c r="M13" s="97">
        <f t="shared" si="0"/>
        <v>89.220000000001164</v>
      </c>
      <c r="N13" s="182"/>
      <c r="O13" s="232"/>
      <c r="Q13" s="182"/>
      <c r="R13" s="182"/>
    </row>
    <row r="14" spans="1:18" s="38" customFormat="1" hidden="1" x14ac:dyDescent="0.2">
      <c r="A14" s="87" t="s">
        <v>17</v>
      </c>
      <c r="B14" s="88" t="s">
        <v>121</v>
      </c>
      <c r="C14" s="89">
        <v>42542</v>
      </c>
      <c r="D14" s="90" t="s">
        <v>19</v>
      </c>
      <c r="E14" s="91">
        <v>37074</v>
      </c>
      <c r="F14" s="92">
        <f>+E14*2.14625</f>
        <v>79570.072500000009</v>
      </c>
      <c r="G14" s="93">
        <v>42669</v>
      </c>
      <c r="H14" s="94"/>
      <c r="I14" s="89"/>
      <c r="J14" s="93"/>
      <c r="K14" s="96">
        <f>13578+5163.9+18217.5</f>
        <v>36959.4</v>
      </c>
      <c r="L14" s="95"/>
      <c r="M14" s="97">
        <f t="shared" si="0"/>
        <v>114.59999999999854</v>
      </c>
      <c r="N14" s="182"/>
      <c r="O14" s="232"/>
      <c r="P14" s="182"/>
      <c r="Q14" s="182"/>
      <c r="R14" s="182"/>
    </row>
    <row r="15" spans="1:18" s="38" customFormat="1" hidden="1" x14ac:dyDescent="0.2">
      <c r="A15" s="87" t="s">
        <v>17</v>
      </c>
      <c r="B15" s="88" t="s">
        <v>122</v>
      </c>
      <c r="C15" s="89">
        <v>42542</v>
      </c>
      <c r="D15" s="90" t="s">
        <v>19</v>
      </c>
      <c r="E15" s="91">
        <v>3480</v>
      </c>
      <c r="F15" s="92">
        <f>+E15*2.14625</f>
        <v>7468.9500000000007</v>
      </c>
      <c r="G15" s="93">
        <v>42669</v>
      </c>
      <c r="H15" s="94"/>
      <c r="I15" s="89"/>
      <c r="J15" s="93"/>
      <c r="K15" s="96">
        <v>3455</v>
      </c>
      <c r="L15" s="95"/>
      <c r="M15" s="97">
        <f t="shared" si="0"/>
        <v>25</v>
      </c>
      <c r="N15" s="182"/>
      <c r="O15" s="232"/>
      <c r="Q15" s="182"/>
      <c r="R15" s="182"/>
    </row>
    <row r="16" spans="1:18" hidden="1" x14ac:dyDescent="0.2">
      <c r="A16" s="149" t="s">
        <v>20</v>
      </c>
      <c r="B16" s="150" t="s">
        <v>150</v>
      </c>
      <c r="C16" s="151">
        <v>42695</v>
      </c>
      <c r="D16" s="152" t="s">
        <v>16</v>
      </c>
      <c r="E16" s="153">
        <v>284382.2</v>
      </c>
      <c r="F16" s="154">
        <f>+E16*2.42505</f>
        <v>689641.05411000003</v>
      </c>
      <c r="G16" s="157">
        <f>+C16+60</f>
        <v>42755</v>
      </c>
      <c r="H16" s="156"/>
      <c r="I16" s="151"/>
      <c r="J16" s="157"/>
      <c r="K16" s="158">
        <f>49950+100950+101950+31500</f>
        <v>284350</v>
      </c>
      <c r="L16" s="159"/>
      <c r="M16" s="160">
        <f t="shared" si="0"/>
        <v>32.200000000011642</v>
      </c>
    </row>
    <row r="17" spans="1:18" ht="13.5" hidden="1" thickBot="1" x14ac:dyDescent="0.25">
      <c r="A17" s="104" t="s">
        <v>20</v>
      </c>
      <c r="B17" s="105" t="s">
        <v>152</v>
      </c>
      <c r="C17" s="106">
        <v>42704</v>
      </c>
      <c r="D17" s="107" t="s">
        <v>16</v>
      </c>
      <c r="E17" s="108">
        <v>187097.52</v>
      </c>
      <c r="F17" s="109">
        <f>+E17*2.42625</f>
        <v>453945.3579</v>
      </c>
      <c r="G17" s="110">
        <f>+C17+60</f>
        <v>42764</v>
      </c>
      <c r="H17" s="111"/>
      <c r="I17" s="106"/>
      <c r="J17" s="110"/>
      <c r="K17" s="113">
        <f>102950-31500+103950+11480</f>
        <v>186880</v>
      </c>
      <c r="L17" s="112"/>
      <c r="M17" s="114">
        <f t="shared" si="0"/>
        <v>217.51999999998952</v>
      </c>
    </row>
    <row r="18" spans="1:18" s="38" customFormat="1" hidden="1" x14ac:dyDescent="0.2">
      <c r="A18" s="126" t="s">
        <v>17</v>
      </c>
      <c r="B18" s="127" t="s">
        <v>158</v>
      </c>
      <c r="C18" s="128">
        <v>42765</v>
      </c>
      <c r="D18" s="129" t="s">
        <v>19</v>
      </c>
      <c r="E18" s="130">
        <v>73064.399999999994</v>
      </c>
      <c r="F18" s="131">
        <f>+E18*2.26605</f>
        <v>165567.58361999999</v>
      </c>
      <c r="G18" s="132">
        <f>+C18+120</f>
        <v>42885</v>
      </c>
      <c r="H18" s="133"/>
      <c r="I18" s="128"/>
      <c r="J18" s="132"/>
      <c r="K18" s="134">
        <f>10173.28+62770</f>
        <v>72943.28</v>
      </c>
      <c r="L18" s="135"/>
      <c r="M18" s="136">
        <f t="shared" ref="M18:M30" si="1">+E18-K18</f>
        <v>121.11999999999534</v>
      </c>
      <c r="N18" s="182"/>
      <c r="O18" s="163"/>
      <c r="Q18" s="182"/>
      <c r="R18" s="182"/>
    </row>
    <row r="19" spans="1:18" hidden="1" x14ac:dyDescent="0.2">
      <c r="A19" s="149" t="s">
        <v>161</v>
      </c>
      <c r="B19" s="150" t="s">
        <v>162</v>
      </c>
      <c r="C19" s="151">
        <v>42780</v>
      </c>
      <c r="D19" s="152" t="s">
        <v>16</v>
      </c>
      <c r="E19" s="153">
        <v>17555.59</v>
      </c>
      <c r="F19" s="154">
        <f>+E19*2.4179</f>
        <v>42447.661060999999</v>
      </c>
      <c r="G19" s="157">
        <f>+C19</f>
        <v>42780</v>
      </c>
      <c r="H19" s="156"/>
      <c r="I19" s="151"/>
      <c r="J19" s="157"/>
      <c r="K19" s="158">
        <v>17555.59</v>
      </c>
      <c r="L19" s="159"/>
      <c r="M19" s="160">
        <f t="shared" si="1"/>
        <v>0</v>
      </c>
      <c r="O19" s="302"/>
      <c r="P19" s="38"/>
      <c r="Q19" s="182"/>
    </row>
    <row r="20" spans="1:18" s="38" customFormat="1" hidden="1" x14ac:dyDescent="0.2">
      <c r="A20" s="87" t="s">
        <v>17</v>
      </c>
      <c r="B20" s="88" t="s">
        <v>165</v>
      </c>
      <c r="C20" s="89">
        <v>42781</v>
      </c>
      <c r="D20" s="90" t="s">
        <v>19</v>
      </c>
      <c r="E20" s="91">
        <v>17856</v>
      </c>
      <c r="F20" s="92">
        <f>+E20*2.272</f>
        <v>40568.831999999995</v>
      </c>
      <c r="G20" s="93">
        <f t="shared" ref="G20:G25" si="2">+C20+120</f>
        <v>42901</v>
      </c>
      <c r="H20" s="94"/>
      <c r="I20" s="89"/>
      <c r="J20" s="93"/>
      <c r="K20" s="96">
        <f>2549.2+15270</f>
        <v>17819.2</v>
      </c>
      <c r="L20" s="95"/>
      <c r="M20" s="97">
        <f t="shared" si="1"/>
        <v>36.799999999999272</v>
      </c>
      <c r="N20" s="182"/>
      <c r="O20" s="163"/>
      <c r="Q20" s="182"/>
      <c r="R20" s="182"/>
    </row>
    <row r="21" spans="1:18" s="38" customFormat="1" hidden="1" x14ac:dyDescent="0.2">
      <c r="A21" s="87" t="s">
        <v>17</v>
      </c>
      <c r="B21" s="88" t="s">
        <v>170</v>
      </c>
      <c r="C21" s="89">
        <v>42844</v>
      </c>
      <c r="D21" s="90" t="s">
        <v>19</v>
      </c>
      <c r="E21" s="91">
        <v>35287.199999999997</v>
      </c>
      <c r="F21" s="92">
        <f>+E21*2.31555</f>
        <v>81709.275959999999</v>
      </c>
      <c r="G21" s="93">
        <f t="shared" si="2"/>
        <v>42964</v>
      </c>
      <c r="H21" s="94"/>
      <c r="I21" s="89"/>
      <c r="J21" s="93"/>
      <c r="K21" s="96">
        <f>5062.04+30100</f>
        <v>35162.04</v>
      </c>
      <c r="L21" s="95"/>
      <c r="M21" s="97">
        <f t="shared" si="1"/>
        <v>125.15999999999622</v>
      </c>
      <c r="N21" s="182"/>
      <c r="O21" s="264"/>
      <c r="Q21" s="182"/>
      <c r="R21" s="182"/>
    </row>
    <row r="22" spans="1:18" s="38" customFormat="1" hidden="1" x14ac:dyDescent="0.2">
      <c r="A22" s="87" t="s">
        <v>17</v>
      </c>
      <c r="B22" s="88" t="s">
        <v>175</v>
      </c>
      <c r="C22" s="89">
        <v>42864</v>
      </c>
      <c r="D22" s="90" t="s">
        <v>19</v>
      </c>
      <c r="E22" s="91">
        <v>73647</v>
      </c>
      <c r="F22" s="92">
        <f>+E22*2.39905</f>
        <v>176682.83534999998</v>
      </c>
      <c r="G22" s="93">
        <f t="shared" si="2"/>
        <v>42984</v>
      </c>
      <c r="H22" s="94"/>
      <c r="I22" s="89"/>
      <c r="J22" s="93"/>
      <c r="K22" s="96">
        <f>10380.8+63196.5</f>
        <v>73577.3</v>
      </c>
      <c r="L22" s="95"/>
      <c r="M22" s="97">
        <f t="shared" si="1"/>
        <v>69.69999999999709</v>
      </c>
      <c r="N22" s="182"/>
      <c r="O22" s="264"/>
      <c r="Q22" s="182"/>
      <c r="R22" s="182"/>
    </row>
    <row r="23" spans="1:18" s="38" customFormat="1" hidden="1" x14ac:dyDescent="0.2">
      <c r="A23" s="87" t="s">
        <v>17</v>
      </c>
      <c r="B23" s="88" t="s">
        <v>178</v>
      </c>
      <c r="C23" s="89">
        <v>42888</v>
      </c>
      <c r="D23" s="90" t="s">
        <v>19</v>
      </c>
      <c r="E23" s="91">
        <v>44179.99</v>
      </c>
      <c r="F23" s="92">
        <f>+E23*2.42865</f>
        <v>107297.73271350001</v>
      </c>
      <c r="G23" s="93">
        <f t="shared" si="2"/>
        <v>43008</v>
      </c>
      <c r="H23" s="94"/>
      <c r="I23" s="89"/>
      <c r="J23" s="93"/>
      <c r="K23" s="96">
        <f>4855.4+39173.04</f>
        <v>44028.44</v>
      </c>
      <c r="L23" s="95"/>
      <c r="M23" s="97">
        <f t="shared" si="1"/>
        <v>151.54999999999563</v>
      </c>
      <c r="N23" s="182"/>
      <c r="O23" s="264"/>
      <c r="Q23" s="182"/>
      <c r="R23" s="182"/>
    </row>
    <row r="24" spans="1:18" s="38" customFormat="1" hidden="1" x14ac:dyDescent="0.2">
      <c r="A24" s="87" t="s">
        <v>17</v>
      </c>
      <c r="B24" s="88" t="s">
        <v>179</v>
      </c>
      <c r="C24" s="89">
        <v>42928</v>
      </c>
      <c r="D24" s="90" t="s">
        <v>19</v>
      </c>
      <c r="E24" s="91">
        <v>92625.75</v>
      </c>
      <c r="F24" s="92">
        <f>+E24*2.4274</f>
        <v>224839.74554999999</v>
      </c>
      <c r="G24" s="93">
        <f t="shared" si="2"/>
        <v>43048</v>
      </c>
      <c r="H24" s="94"/>
      <c r="I24" s="89"/>
      <c r="J24" s="93"/>
      <c r="K24" s="96">
        <f>12804.1+79661.5</f>
        <v>92465.600000000006</v>
      </c>
      <c r="L24" s="95"/>
      <c r="M24" s="97">
        <f t="shared" si="1"/>
        <v>160.14999999999418</v>
      </c>
      <c r="N24" s="182"/>
      <c r="O24" s="264"/>
      <c r="Q24" s="182"/>
      <c r="R24" s="182"/>
    </row>
    <row r="25" spans="1:18" hidden="1" x14ac:dyDescent="0.2">
      <c r="A25" s="149" t="s">
        <v>161</v>
      </c>
      <c r="B25" s="150" t="s">
        <v>199</v>
      </c>
      <c r="C25" s="151">
        <v>42998</v>
      </c>
      <c r="D25" s="152" t="s">
        <v>16</v>
      </c>
      <c r="E25" s="153">
        <v>17117.849999999999</v>
      </c>
      <c r="F25" s="154">
        <f>+E25*2.9097</f>
        <v>49807.808144999995</v>
      </c>
      <c r="G25" s="157">
        <f t="shared" si="2"/>
        <v>43118</v>
      </c>
      <c r="H25" s="156"/>
      <c r="I25" s="151"/>
      <c r="J25" s="157"/>
      <c r="K25" s="158">
        <v>17117.849999999999</v>
      </c>
      <c r="L25" s="159"/>
      <c r="M25" s="160">
        <f t="shared" si="1"/>
        <v>0</v>
      </c>
    </row>
    <row r="26" spans="1:18" s="38" customFormat="1" hidden="1" x14ac:dyDescent="0.2">
      <c r="A26" s="87" t="s">
        <v>17</v>
      </c>
      <c r="B26" s="88" t="s">
        <v>211</v>
      </c>
      <c r="C26" s="89">
        <v>43054</v>
      </c>
      <c r="D26" s="90" t="s">
        <v>19</v>
      </c>
      <c r="E26" s="91">
        <v>71193.600000000006</v>
      </c>
      <c r="F26" s="92">
        <f>+E26*2.4747</f>
        <v>176182.80192</v>
      </c>
      <c r="G26" s="93">
        <f>+C26+120</f>
        <v>43174</v>
      </c>
      <c r="H26" s="94"/>
      <c r="I26" s="89"/>
      <c r="J26" s="93"/>
      <c r="K26" s="96">
        <f>10243.52+40535+20400</f>
        <v>71178.52</v>
      </c>
      <c r="L26" s="95"/>
      <c r="M26" s="97">
        <f t="shared" si="1"/>
        <v>15.080000000001746</v>
      </c>
      <c r="N26" s="182"/>
      <c r="O26" s="264"/>
      <c r="Q26" s="182"/>
      <c r="R26" s="182"/>
    </row>
    <row r="27" spans="1:18" hidden="1" x14ac:dyDescent="0.2">
      <c r="A27" s="149" t="s">
        <v>161</v>
      </c>
      <c r="B27" s="150" t="s">
        <v>216</v>
      </c>
      <c r="C27" s="151">
        <v>43073</v>
      </c>
      <c r="D27" s="152" t="s">
        <v>16</v>
      </c>
      <c r="E27" s="153">
        <v>16991.82</v>
      </c>
      <c r="F27" s="154">
        <f>+E27*2.9231</f>
        <v>49668.789041999997</v>
      </c>
      <c r="G27" s="157">
        <f>+C27+0</f>
        <v>43073</v>
      </c>
      <c r="H27" s="156"/>
      <c r="I27" s="151"/>
      <c r="J27" s="157"/>
      <c r="K27" s="158">
        <v>16991.82</v>
      </c>
      <c r="L27" s="159"/>
      <c r="M27" s="160">
        <f t="shared" si="1"/>
        <v>0</v>
      </c>
    </row>
    <row r="28" spans="1:18" s="38" customFormat="1" hidden="1" x14ac:dyDescent="0.2">
      <c r="A28" s="87" t="s">
        <v>17</v>
      </c>
      <c r="B28" s="88" t="s">
        <v>224</v>
      </c>
      <c r="C28" s="89">
        <v>43084</v>
      </c>
      <c r="D28" s="90" t="s">
        <v>19</v>
      </c>
      <c r="E28" s="91">
        <v>72028.800000000003</v>
      </c>
      <c r="F28" s="92">
        <f>+E28*2.4744</f>
        <v>178228.06272000002</v>
      </c>
      <c r="G28" s="93">
        <f>+C28+120</f>
        <v>43204</v>
      </c>
      <c r="H28" s="94"/>
      <c r="I28" s="89"/>
      <c r="J28" s="93"/>
      <c r="K28" s="96">
        <f>10364.16+61492.5</f>
        <v>71856.66</v>
      </c>
      <c r="L28" s="95"/>
      <c r="M28" s="97">
        <f t="shared" si="1"/>
        <v>172.13999999999942</v>
      </c>
      <c r="N28" s="182"/>
      <c r="O28" s="264"/>
      <c r="Q28" s="182"/>
      <c r="R28" s="182"/>
    </row>
    <row r="29" spans="1:18" hidden="1" x14ac:dyDescent="0.2">
      <c r="A29" s="204" t="s">
        <v>161</v>
      </c>
      <c r="B29" s="205" t="s">
        <v>239</v>
      </c>
      <c r="C29" s="206">
        <v>43182</v>
      </c>
      <c r="D29" s="174" t="s">
        <v>16</v>
      </c>
      <c r="E29" s="207">
        <v>13950.45</v>
      </c>
      <c r="F29" s="208">
        <f>+E29*2.9343</f>
        <v>40934.805435000002</v>
      </c>
      <c r="G29" s="175">
        <f>+C29</f>
        <v>43182</v>
      </c>
      <c r="H29" s="173"/>
      <c r="I29" s="206"/>
      <c r="J29" s="175"/>
      <c r="K29" s="210">
        <v>13950.45</v>
      </c>
      <c r="L29" s="199"/>
      <c r="M29" s="160">
        <f t="shared" si="1"/>
        <v>0</v>
      </c>
    </row>
    <row r="30" spans="1:18" s="38" customFormat="1" x14ac:dyDescent="0.2">
      <c r="A30" s="605" t="s">
        <v>17</v>
      </c>
      <c r="B30" s="606" t="s">
        <v>240</v>
      </c>
      <c r="C30" s="607">
        <v>43164</v>
      </c>
      <c r="D30" s="608" t="s">
        <v>19</v>
      </c>
      <c r="E30" s="609">
        <v>35971.199999999997</v>
      </c>
      <c r="F30" s="610">
        <f>+E30*2.38585</f>
        <v>85821.887519999989</v>
      </c>
      <c r="G30" s="611">
        <f>+C30+120</f>
        <v>43284</v>
      </c>
      <c r="H30" s="612"/>
      <c r="I30" s="607"/>
      <c r="J30" s="611"/>
      <c r="K30" s="613">
        <f>5174.34+49985-20400</f>
        <v>34759.339999999997</v>
      </c>
      <c r="L30" s="614"/>
      <c r="M30" s="615">
        <f t="shared" si="1"/>
        <v>1211.8600000000006</v>
      </c>
      <c r="N30" s="182"/>
      <c r="O30" s="264"/>
      <c r="Q30" s="182"/>
      <c r="R30" s="182"/>
    </row>
    <row r="31" spans="1:18" hidden="1" x14ac:dyDescent="0.2">
      <c r="A31" s="204" t="s">
        <v>649</v>
      </c>
      <c r="B31" s="205" t="s">
        <v>650</v>
      </c>
      <c r="C31" s="206">
        <v>43500</v>
      </c>
      <c r="D31" s="174" t="s">
        <v>16</v>
      </c>
      <c r="E31" s="207">
        <v>15799.17</v>
      </c>
      <c r="F31" s="208">
        <f>+E31*3.4629</f>
        <v>54710.945792999999</v>
      </c>
      <c r="G31" s="175">
        <f>+C31+45</f>
        <v>43545</v>
      </c>
      <c r="H31" s="173"/>
      <c r="I31" s="206"/>
      <c r="J31" s="175"/>
      <c r="K31" s="210">
        <v>15738.17</v>
      </c>
      <c r="L31" s="199"/>
      <c r="M31" s="211">
        <f>+E31-K31</f>
        <v>61</v>
      </c>
    </row>
    <row r="32" spans="1:18" hidden="1" x14ac:dyDescent="0.2">
      <c r="A32" s="204" t="s">
        <v>649</v>
      </c>
      <c r="B32" s="205" t="s">
        <v>706</v>
      </c>
      <c r="C32" s="206">
        <v>43565</v>
      </c>
      <c r="D32" s="174" t="s">
        <v>16</v>
      </c>
      <c r="E32" s="207">
        <v>56490.77</v>
      </c>
      <c r="F32" s="208">
        <f>+E32*3.37945</f>
        <v>190907.73267649999</v>
      </c>
      <c r="G32" s="175">
        <f>+C32+45</f>
        <v>43610</v>
      </c>
      <c r="H32" s="173"/>
      <c r="I32" s="206"/>
      <c r="J32" s="175"/>
      <c r="K32" s="210">
        <f>15000+15000+26442.77</f>
        <v>56442.770000000004</v>
      </c>
      <c r="L32" s="199"/>
      <c r="M32" s="211">
        <f>+E32-K32</f>
        <v>47.999999999992724</v>
      </c>
      <c r="O32" s="302"/>
    </row>
    <row r="33" spans="1:18" hidden="1" x14ac:dyDescent="0.2">
      <c r="A33" s="204" t="s">
        <v>649</v>
      </c>
      <c r="B33" s="205" t="s">
        <v>728</v>
      </c>
      <c r="C33" s="206">
        <v>43584</v>
      </c>
      <c r="D33" s="174" t="s">
        <v>16</v>
      </c>
      <c r="E33" s="207">
        <v>56497.29</v>
      </c>
      <c r="F33" s="208">
        <f>E33*3.3503</f>
        <v>189282.87068699999</v>
      </c>
      <c r="G33" s="175">
        <f>+C33+45</f>
        <v>43629</v>
      </c>
      <c r="H33" s="173"/>
      <c r="I33" s="206"/>
      <c r="J33" s="175"/>
      <c r="K33" s="210">
        <f>10000+4985+41427.29</f>
        <v>56412.29</v>
      </c>
      <c r="L33" s="199"/>
      <c r="M33" s="211">
        <f>+E33-K33</f>
        <v>85</v>
      </c>
      <c r="O33" s="302"/>
    </row>
    <row r="34" spans="1:18" hidden="1" x14ac:dyDescent="0.2">
      <c r="A34" s="204" t="s">
        <v>17</v>
      </c>
      <c r="B34" s="205" t="s">
        <v>748</v>
      </c>
      <c r="C34" s="206">
        <v>43606</v>
      </c>
      <c r="D34" s="174" t="s">
        <v>16</v>
      </c>
      <c r="E34" s="207">
        <v>44837.760000000002</v>
      </c>
      <c r="F34" s="208">
        <f>+E34*3.33895</f>
        <v>149711.03875200002</v>
      </c>
      <c r="G34" s="175">
        <f>+C34+60</f>
        <v>43666</v>
      </c>
      <c r="H34" s="173"/>
      <c r="I34" s="206"/>
      <c r="J34" s="175"/>
      <c r="K34" s="210">
        <v>44837.760000000002</v>
      </c>
      <c r="L34" s="199"/>
      <c r="M34" s="211">
        <f>+E34-K34</f>
        <v>0</v>
      </c>
      <c r="O34" s="302"/>
    </row>
    <row r="35" spans="1:18" s="38" customFormat="1" ht="13.5" thickBot="1" x14ac:dyDescent="0.25">
      <c r="A35" s="616"/>
      <c r="B35" s="617"/>
      <c r="C35" s="618"/>
      <c r="D35" s="619"/>
      <c r="E35" s="620"/>
      <c r="F35" s="621"/>
      <c r="G35" s="622"/>
      <c r="H35" s="623"/>
      <c r="I35" s="618"/>
      <c r="J35" s="622"/>
      <c r="K35" s="624"/>
      <c r="L35" s="625"/>
      <c r="M35" s="626"/>
      <c r="N35" s="182"/>
      <c r="O35" s="264"/>
      <c r="Q35" s="182"/>
      <c r="R35" s="182"/>
    </row>
    <row r="36" spans="1:18" s="38" customFormat="1" ht="13.5" thickBot="1" x14ac:dyDescent="0.25">
      <c r="A36" s="627"/>
      <c r="B36" s="627"/>
      <c r="C36" s="628"/>
      <c r="D36" s="627"/>
      <c r="E36" s="629"/>
      <c r="F36" s="630"/>
      <c r="G36" s="628"/>
      <c r="H36" s="630"/>
      <c r="I36" s="628"/>
      <c r="J36" s="628"/>
      <c r="K36" s="629"/>
      <c r="L36" s="627"/>
      <c r="M36" s="363"/>
      <c r="N36" s="182"/>
      <c r="O36" s="232"/>
      <c r="Q36" s="182"/>
      <c r="R36" s="182"/>
    </row>
    <row r="37" spans="1:18" ht="13.5" thickBot="1" x14ac:dyDescent="0.25">
      <c r="A37" s="994" t="s">
        <v>0</v>
      </c>
      <c r="B37" s="996" t="s">
        <v>1</v>
      </c>
      <c r="C37" s="996"/>
      <c r="D37" s="996"/>
      <c r="E37" s="996"/>
      <c r="F37" s="996"/>
      <c r="G37" s="996"/>
      <c r="H37" s="997" t="s">
        <v>2</v>
      </c>
      <c r="I37" s="997"/>
      <c r="J37" s="997"/>
      <c r="K37" s="997" t="s">
        <v>3</v>
      </c>
      <c r="L37" s="997"/>
      <c r="M37" s="994" t="s">
        <v>4</v>
      </c>
    </row>
    <row r="38" spans="1:18" ht="13.5" thickBot="1" x14ac:dyDescent="0.25">
      <c r="A38" s="995"/>
      <c r="B38" s="379" t="s">
        <v>5</v>
      </c>
      <c r="C38" s="379" t="s">
        <v>6</v>
      </c>
      <c r="D38" s="379" t="s">
        <v>7</v>
      </c>
      <c r="E38" s="17" t="s">
        <v>8</v>
      </c>
      <c r="F38" s="16" t="s">
        <v>9</v>
      </c>
      <c r="G38" s="380" t="s">
        <v>10</v>
      </c>
      <c r="H38" s="16" t="s">
        <v>11</v>
      </c>
      <c r="I38" s="379" t="s">
        <v>12</v>
      </c>
      <c r="J38" s="380" t="s">
        <v>13</v>
      </c>
      <c r="K38" s="17" t="s">
        <v>11</v>
      </c>
      <c r="L38" s="18" t="s">
        <v>14</v>
      </c>
      <c r="M38" s="995"/>
    </row>
    <row r="39" spans="1:18" x14ac:dyDescent="0.2">
      <c r="A39" s="29" t="s">
        <v>17</v>
      </c>
      <c r="B39" s="653" t="s">
        <v>26</v>
      </c>
      <c r="C39" s="654">
        <v>40680</v>
      </c>
      <c r="D39" s="657" t="s">
        <v>16</v>
      </c>
      <c r="E39" s="655">
        <v>5190.95</v>
      </c>
      <c r="F39" s="656">
        <f>+E39*1.95835</f>
        <v>10165.696932499999</v>
      </c>
      <c r="G39" s="589">
        <f>+C39+90</f>
        <v>40770</v>
      </c>
      <c r="H39" s="33"/>
      <c r="I39" s="31"/>
      <c r="J39" s="32"/>
      <c r="K39" s="34"/>
      <c r="L39" s="35"/>
      <c r="M39" s="36">
        <f>+E39-K39</f>
        <v>5190.95</v>
      </c>
      <c r="O39" s="302"/>
    </row>
    <row r="40" spans="1:18" s="38" customFormat="1" hidden="1" x14ac:dyDescent="0.2">
      <c r="A40" s="87" t="s">
        <v>17</v>
      </c>
      <c r="B40" s="88" t="s">
        <v>27</v>
      </c>
      <c r="C40" s="89">
        <v>42356</v>
      </c>
      <c r="D40" s="90" t="s">
        <v>19</v>
      </c>
      <c r="E40" s="91">
        <v>217912.86</v>
      </c>
      <c r="F40" s="92">
        <f>E40*2.01185</f>
        <v>438407.98739099997</v>
      </c>
      <c r="G40" s="93">
        <v>42485</v>
      </c>
      <c r="H40" s="94"/>
      <c r="I40" s="90"/>
      <c r="J40" s="95"/>
      <c r="K40" s="96">
        <f>113564.6+104348.26</f>
        <v>217912.86</v>
      </c>
      <c r="L40" s="95"/>
      <c r="M40" s="97">
        <f t="shared" ref="M40:M72" si="3">E40-K40</f>
        <v>0</v>
      </c>
      <c r="N40" s="182"/>
      <c r="O40" s="232"/>
      <c r="P40" s="182"/>
      <c r="Q40" s="182"/>
      <c r="R40" s="182"/>
    </row>
    <row r="41" spans="1:18" hidden="1" x14ac:dyDescent="0.2">
      <c r="A41" s="149" t="s">
        <v>20</v>
      </c>
      <c r="B41" s="150" t="s">
        <v>28</v>
      </c>
      <c r="C41" s="151">
        <v>42359</v>
      </c>
      <c r="D41" s="152" t="s">
        <v>16</v>
      </c>
      <c r="E41" s="153">
        <v>694484.64</v>
      </c>
      <c r="F41" s="154">
        <f>E41*2.19375</f>
        <v>1523525.679</v>
      </c>
      <c r="G41" s="157">
        <v>42456</v>
      </c>
      <c r="H41" s="156"/>
      <c r="I41" s="152"/>
      <c r="J41" s="159"/>
      <c r="K41" s="158">
        <f>49960-39400+88520+100950+99945+49934.5+99924.5+24900+24960+49900+29960+29982+34949.5+21960+28000</f>
        <v>694445.5</v>
      </c>
      <c r="L41" s="159"/>
      <c r="M41" s="160">
        <f t="shared" si="3"/>
        <v>39.14000000001397</v>
      </c>
    </row>
    <row r="42" spans="1:18" ht="13.5" hidden="1" thickBot="1" x14ac:dyDescent="0.25">
      <c r="A42" s="104" t="s">
        <v>17</v>
      </c>
      <c r="B42" s="105" t="s">
        <v>29</v>
      </c>
      <c r="C42" s="106">
        <v>42363</v>
      </c>
      <c r="D42" s="107" t="s">
        <v>16</v>
      </c>
      <c r="E42" s="108">
        <v>2590.8000000000002</v>
      </c>
      <c r="F42" s="109">
        <f>+E42*2.19995</f>
        <v>5699.6304600000003</v>
      </c>
      <c r="G42" s="110">
        <v>42485</v>
      </c>
      <c r="H42" s="111"/>
      <c r="I42" s="107"/>
      <c r="J42" s="112"/>
      <c r="K42" s="113">
        <v>2783.74</v>
      </c>
      <c r="L42" s="112"/>
      <c r="M42" s="114">
        <f t="shared" si="3"/>
        <v>-192.9399999999996</v>
      </c>
      <c r="P42" s="180"/>
    </row>
    <row r="43" spans="1:18" hidden="1" x14ac:dyDescent="0.2">
      <c r="A43" s="139" t="s">
        <v>15</v>
      </c>
      <c r="B43" s="140" t="s">
        <v>30</v>
      </c>
      <c r="C43" s="141">
        <v>42388</v>
      </c>
      <c r="D43" s="142" t="s">
        <v>16</v>
      </c>
      <c r="E43" s="143">
        <v>70769.149999999994</v>
      </c>
      <c r="F43" s="144">
        <f>E43*2.21425</f>
        <v>156700.59038749998</v>
      </c>
      <c r="G43" s="145">
        <v>42478</v>
      </c>
      <c r="H43" s="146"/>
      <c r="I43" s="141"/>
      <c r="J43" s="145"/>
      <c r="K43" s="147">
        <f>20719.15+24950+24950</f>
        <v>70619.149999999994</v>
      </c>
      <c r="L43" s="145"/>
      <c r="M43" s="148">
        <f t="shared" si="3"/>
        <v>150</v>
      </c>
    </row>
    <row r="44" spans="1:18" s="38" customFormat="1" hidden="1" x14ac:dyDescent="0.2">
      <c r="A44" s="87" t="s">
        <v>17</v>
      </c>
      <c r="B44" s="88" t="s">
        <v>31</v>
      </c>
      <c r="C44" s="89">
        <v>42394</v>
      </c>
      <c r="D44" s="90" t="s">
        <v>19</v>
      </c>
      <c r="E44" s="91">
        <v>120772.23</v>
      </c>
      <c r="F44" s="92">
        <f>+E44*2.0293</f>
        <v>245083.086339</v>
      </c>
      <c r="G44" s="93">
        <v>42522</v>
      </c>
      <c r="H44" s="94"/>
      <c r="I44" s="90"/>
      <c r="J44" s="95"/>
      <c r="K44" s="96">
        <f>61633.4-K45+60440.56</f>
        <v>120729.95999999999</v>
      </c>
      <c r="L44" s="95"/>
      <c r="M44" s="97">
        <f t="shared" si="3"/>
        <v>42.270000000004075</v>
      </c>
      <c r="N44" s="182"/>
      <c r="O44" s="232"/>
      <c r="P44" s="182"/>
      <c r="Q44" s="182"/>
      <c r="R44" s="182"/>
    </row>
    <row r="45" spans="1:18" s="38" customFormat="1" hidden="1" x14ac:dyDescent="0.2">
      <c r="A45" s="87" t="s">
        <v>17</v>
      </c>
      <c r="B45" s="88" t="s">
        <v>32</v>
      </c>
      <c r="C45" s="89">
        <v>42396</v>
      </c>
      <c r="D45" s="90" t="s">
        <v>19</v>
      </c>
      <c r="E45" s="91">
        <v>1344</v>
      </c>
      <c r="F45" s="92">
        <f>+E45*2.0293</f>
        <v>2727.3792000000003</v>
      </c>
      <c r="G45" s="93">
        <v>42522</v>
      </c>
      <c r="H45" s="94"/>
      <c r="I45" s="90"/>
      <c r="J45" s="95"/>
      <c r="K45" s="96">
        <v>1344</v>
      </c>
      <c r="L45" s="95"/>
      <c r="M45" s="97">
        <f t="shared" si="3"/>
        <v>0</v>
      </c>
      <c r="N45" s="182"/>
      <c r="O45" s="232"/>
      <c r="P45" s="182"/>
      <c r="Q45" s="182"/>
      <c r="R45" s="182"/>
    </row>
    <row r="46" spans="1:18" hidden="1" x14ac:dyDescent="0.2">
      <c r="A46" s="149" t="s">
        <v>20</v>
      </c>
      <c r="B46" s="150" t="s">
        <v>33</v>
      </c>
      <c r="C46" s="151">
        <v>42405</v>
      </c>
      <c r="D46" s="152" t="s">
        <v>16</v>
      </c>
      <c r="E46" s="153">
        <v>354482.12</v>
      </c>
      <c r="F46" s="154">
        <f>E46*2.232</f>
        <v>791204.09184000001</v>
      </c>
      <c r="G46" s="157">
        <v>42502</v>
      </c>
      <c r="H46" s="156"/>
      <c r="I46" s="152"/>
      <c r="J46" s="159"/>
      <c r="K46" s="158">
        <f>54480+50000+100000+100000+5000+40000+5002.12</f>
        <v>354482.12</v>
      </c>
      <c r="L46" s="159"/>
      <c r="M46" s="160">
        <f>E46-K46</f>
        <v>0</v>
      </c>
    </row>
    <row r="47" spans="1:18" s="38" customFormat="1" hidden="1" x14ac:dyDescent="0.2">
      <c r="A47" s="87" t="s">
        <v>17</v>
      </c>
      <c r="B47" s="88" t="s">
        <v>34</v>
      </c>
      <c r="C47" s="89">
        <v>42412</v>
      </c>
      <c r="D47" s="90" t="s">
        <v>19</v>
      </c>
      <c r="E47" s="91">
        <v>110497.38</v>
      </c>
      <c r="F47" s="92">
        <f>E47*2.00195</f>
        <v>221210.229891</v>
      </c>
      <c r="G47" s="93">
        <v>42543</v>
      </c>
      <c r="H47" s="94"/>
      <c r="I47" s="90"/>
      <c r="J47" s="95"/>
      <c r="K47" s="96">
        <f>58678.54-3945.6+55714.44</f>
        <v>110447.38</v>
      </c>
      <c r="L47" s="95"/>
      <c r="M47" s="97">
        <f t="shared" si="3"/>
        <v>50</v>
      </c>
      <c r="N47" s="182"/>
      <c r="O47" s="232"/>
      <c r="Q47" s="182"/>
      <c r="R47" s="182"/>
    </row>
    <row r="48" spans="1:18" hidden="1" x14ac:dyDescent="0.2">
      <c r="A48" s="149" t="s">
        <v>15</v>
      </c>
      <c r="B48" s="150" t="s">
        <v>35</v>
      </c>
      <c r="C48" s="151">
        <v>42412</v>
      </c>
      <c r="D48" s="152" t="s">
        <v>16</v>
      </c>
      <c r="E48" s="153">
        <v>52613.599999999999</v>
      </c>
      <c r="F48" s="154">
        <f>E48*2.24105</f>
        <v>117909.70827999999</v>
      </c>
      <c r="G48" s="155">
        <v>42502</v>
      </c>
      <c r="H48" s="156"/>
      <c r="I48" s="152"/>
      <c r="J48" s="159"/>
      <c r="K48" s="158">
        <v>52563.6</v>
      </c>
      <c r="L48" s="159"/>
      <c r="M48" s="160">
        <f t="shared" si="3"/>
        <v>50</v>
      </c>
    </row>
    <row r="49" spans="1:18" s="38" customFormat="1" hidden="1" x14ac:dyDescent="0.2">
      <c r="A49" s="87" t="s">
        <v>17</v>
      </c>
      <c r="B49" s="88" t="s">
        <v>36</v>
      </c>
      <c r="C49" s="89">
        <v>42416</v>
      </c>
      <c r="D49" s="90" t="s">
        <v>19</v>
      </c>
      <c r="E49" s="91">
        <v>3945.6</v>
      </c>
      <c r="F49" s="92">
        <f>E49*2.00195</f>
        <v>7898.8939199999995</v>
      </c>
      <c r="G49" s="102">
        <v>42543</v>
      </c>
      <c r="H49" s="94"/>
      <c r="I49" s="90"/>
      <c r="J49" s="95"/>
      <c r="K49" s="96">
        <v>3945.6</v>
      </c>
      <c r="L49" s="95"/>
      <c r="M49" s="97">
        <f t="shared" si="3"/>
        <v>0</v>
      </c>
      <c r="N49" s="182"/>
      <c r="O49" s="232"/>
      <c r="Q49" s="182"/>
      <c r="R49" s="182"/>
    </row>
    <row r="50" spans="1:18" hidden="1" x14ac:dyDescent="0.2">
      <c r="A50" s="149" t="s">
        <v>15</v>
      </c>
      <c r="B50" s="150" t="s">
        <v>37</v>
      </c>
      <c r="C50" s="151">
        <v>42422</v>
      </c>
      <c r="D50" s="152" t="s">
        <v>16</v>
      </c>
      <c r="E50" s="153">
        <v>36924.26</v>
      </c>
      <c r="F50" s="154">
        <f>+E50*2.2214</f>
        <v>82023.551164000004</v>
      </c>
      <c r="G50" s="155">
        <f>+C50+90</f>
        <v>42512</v>
      </c>
      <c r="H50" s="156"/>
      <c r="I50" s="152"/>
      <c r="J50" s="159"/>
      <c r="K50" s="158">
        <v>36874.26</v>
      </c>
      <c r="L50" s="159"/>
      <c r="M50" s="160">
        <f t="shared" si="3"/>
        <v>50</v>
      </c>
    </row>
    <row r="51" spans="1:18" s="38" customFormat="1" hidden="1" x14ac:dyDescent="0.2">
      <c r="A51" s="87" t="s">
        <v>21</v>
      </c>
      <c r="B51" s="88" t="s">
        <v>38</v>
      </c>
      <c r="C51" s="89">
        <v>42423</v>
      </c>
      <c r="D51" s="90" t="s">
        <v>19</v>
      </c>
      <c r="E51" s="91">
        <v>58754.1</v>
      </c>
      <c r="F51" s="92">
        <f>+E51*2.01295</f>
        <v>118269.06559499999</v>
      </c>
      <c r="G51" s="102">
        <f>+C51+90</f>
        <v>42513</v>
      </c>
      <c r="H51" s="94"/>
      <c r="I51" s="90"/>
      <c r="J51" s="95"/>
      <c r="K51" s="96">
        <v>58754.1</v>
      </c>
      <c r="L51" s="95"/>
      <c r="M51" s="97">
        <f t="shared" si="3"/>
        <v>0</v>
      </c>
      <c r="N51" s="182"/>
      <c r="O51" s="232"/>
      <c r="P51" s="631"/>
      <c r="Q51" s="182"/>
      <c r="R51" s="182"/>
    </row>
    <row r="52" spans="1:18" hidden="1" x14ac:dyDescent="0.2">
      <c r="A52" s="149" t="s">
        <v>20</v>
      </c>
      <c r="B52" s="150" t="s">
        <v>40</v>
      </c>
      <c r="C52" s="151">
        <v>42436</v>
      </c>
      <c r="D52" s="152" t="s">
        <v>16</v>
      </c>
      <c r="E52" s="153">
        <v>346818.74</v>
      </c>
      <c r="F52" s="154">
        <f>+E52*2.2428</f>
        <v>777845.07007199991</v>
      </c>
      <c r="G52" s="155">
        <f>+C52+90</f>
        <v>42526</v>
      </c>
      <c r="H52" s="156">
        <v>620000</v>
      </c>
      <c r="I52" s="152"/>
      <c r="J52" s="157">
        <v>42521</v>
      </c>
      <c r="K52" s="158">
        <f>79900-5002.12+25000+25000+25000+15000+80000+40000+31840+9950+20000</f>
        <v>346687.88</v>
      </c>
      <c r="L52" s="159"/>
      <c r="M52" s="160">
        <f t="shared" si="3"/>
        <v>130.85999999998603</v>
      </c>
    </row>
    <row r="53" spans="1:18" hidden="1" x14ac:dyDescent="0.2">
      <c r="A53" s="149" t="s">
        <v>15</v>
      </c>
      <c r="B53" s="150" t="s">
        <v>41</v>
      </c>
      <c r="C53" s="151">
        <v>42445</v>
      </c>
      <c r="D53" s="152" t="s">
        <v>16</v>
      </c>
      <c r="E53" s="153">
        <v>56915.18</v>
      </c>
      <c r="F53" s="154">
        <f>+E53*2.2342</f>
        <v>127159.895156</v>
      </c>
      <c r="G53" s="155">
        <f>+C53+90</f>
        <v>42535</v>
      </c>
      <c r="H53" s="156"/>
      <c r="I53" s="152"/>
      <c r="J53" s="159"/>
      <c r="K53" s="158">
        <f>20865.18+36000</f>
        <v>56865.18</v>
      </c>
      <c r="L53" s="159"/>
      <c r="M53" s="160">
        <f t="shared" si="3"/>
        <v>50</v>
      </c>
    </row>
    <row r="54" spans="1:18" hidden="1" x14ac:dyDescent="0.2">
      <c r="A54" s="149" t="s">
        <v>15</v>
      </c>
      <c r="B54" s="150" t="s">
        <v>42</v>
      </c>
      <c r="C54" s="151">
        <v>42460</v>
      </c>
      <c r="D54" s="152" t="s">
        <v>16</v>
      </c>
      <c r="E54" s="153">
        <v>55894.19</v>
      </c>
      <c r="F54" s="154">
        <f>E54*2.25995</f>
        <v>126318.0746905</v>
      </c>
      <c r="G54" s="155">
        <f>+C54+90</f>
        <v>42550</v>
      </c>
      <c r="H54" s="156"/>
      <c r="I54" s="152"/>
      <c r="J54" s="159"/>
      <c r="K54" s="158">
        <f>46844.19-36000+22950+21950</f>
        <v>55744.19</v>
      </c>
      <c r="L54" s="159"/>
      <c r="M54" s="160">
        <f t="shared" si="3"/>
        <v>150</v>
      </c>
    </row>
    <row r="55" spans="1:18" s="38" customFormat="1" hidden="1" x14ac:dyDescent="0.2">
      <c r="A55" s="87" t="s">
        <v>17</v>
      </c>
      <c r="B55" s="88" t="s">
        <v>43</v>
      </c>
      <c r="C55" s="89">
        <v>42461</v>
      </c>
      <c r="D55" s="90" t="s">
        <v>19</v>
      </c>
      <c r="E55" s="91">
        <v>124293.26</v>
      </c>
      <c r="F55" s="92">
        <f>E55*1.98505</f>
        <v>246728.33576299998</v>
      </c>
      <c r="G55" s="102">
        <v>42585</v>
      </c>
      <c r="H55" s="94"/>
      <c r="I55" s="90"/>
      <c r="J55" s="95"/>
      <c r="K55" s="96">
        <f>60173.9+64059.36</f>
        <v>124233.26000000001</v>
      </c>
      <c r="L55" s="95"/>
      <c r="M55" s="97">
        <f t="shared" si="3"/>
        <v>59.999999999985448</v>
      </c>
      <c r="N55" s="182"/>
      <c r="O55" s="264"/>
      <c r="Q55" s="182"/>
      <c r="R55" s="182"/>
    </row>
    <row r="56" spans="1:18" hidden="1" x14ac:dyDescent="0.2">
      <c r="A56" s="149" t="s">
        <v>15</v>
      </c>
      <c r="B56" s="150" t="s">
        <v>78</v>
      </c>
      <c r="C56" s="151">
        <v>42471</v>
      </c>
      <c r="D56" s="152" t="s">
        <v>16</v>
      </c>
      <c r="E56" s="153">
        <v>71366.58</v>
      </c>
      <c r="F56" s="154">
        <f>E56*2.2645</f>
        <v>161609.62041</v>
      </c>
      <c r="G56" s="155">
        <f>+C56+90</f>
        <v>42561</v>
      </c>
      <c r="H56" s="156"/>
      <c r="I56" s="152"/>
      <c r="J56" s="159"/>
      <c r="K56" s="158">
        <v>71316.58</v>
      </c>
      <c r="L56" s="159"/>
      <c r="M56" s="160">
        <f t="shared" si="3"/>
        <v>50</v>
      </c>
    </row>
    <row r="57" spans="1:18" s="38" customFormat="1" hidden="1" x14ac:dyDescent="0.2">
      <c r="A57" s="87" t="s">
        <v>17</v>
      </c>
      <c r="B57" s="88" t="s">
        <v>81</v>
      </c>
      <c r="C57" s="89">
        <v>42480</v>
      </c>
      <c r="D57" s="90" t="s">
        <v>19</v>
      </c>
      <c r="E57" s="91">
        <v>3720</v>
      </c>
      <c r="F57" s="92">
        <f>+E57*1.99715</f>
        <v>7429.3980000000001</v>
      </c>
      <c r="G57" s="102">
        <v>42603</v>
      </c>
      <c r="H57" s="94"/>
      <c r="I57" s="90"/>
      <c r="J57" s="95"/>
      <c r="K57" s="96">
        <v>3662</v>
      </c>
      <c r="L57" s="95"/>
      <c r="M57" s="97">
        <f t="shared" si="3"/>
        <v>58</v>
      </c>
      <c r="N57" s="182"/>
      <c r="O57" s="264"/>
      <c r="P57" s="632"/>
      <c r="Q57" s="182"/>
      <c r="R57" s="182"/>
    </row>
    <row r="58" spans="1:18" s="38" customFormat="1" hidden="1" x14ac:dyDescent="0.2">
      <c r="A58" s="87" t="s">
        <v>21</v>
      </c>
      <c r="B58" s="88" t="s">
        <v>79</v>
      </c>
      <c r="C58" s="89">
        <v>42480</v>
      </c>
      <c r="D58" s="90" t="s">
        <v>19</v>
      </c>
      <c r="E58" s="91">
        <v>59734.6</v>
      </c>
      <c r="F58" s="92">
        <f>+E58*1.99715</f>
        <v>119298.95638999999</v>
      </c>
      <c r="G58" s="102">
        <v>42580</v>
      </c>
      <c r="H58" s="94"/>
      <c r="I58" s="90"/>
      <c r="J58" s="95"/>
      <c r="K58" s="96">
        <v>59734.6</v>
      </c>
      <c r="L58" s="95"/>
      <c r="M58" s="97">
        <f t="shared" si="3"/>
        <v>0</v>
      </c>
      <c r="N58" s="182"/>
      <c r="O58" s="264"/>
      <c r="P58" s="632"/>
      <c r="Q58" s="182"/>
      <c r="R58" s="182"/>
    </row>
    <row r="59" spans="1:18" s="38" customFormat="1" hidden="1" x14ac:dyDescent="0.2">
      <c r="A59" s="87" t="s">
        <v>17</v>
      </c>
      <c r="B59" s="88" t="s">
        <v>80</v>
      </c>
      <c r="C59" s="89">
        <v>42485</v>
      </c>
      <c r="D59" s="90" t="s">
        <v>19</v>
      </c>
      <c r="E59" s="91">
        <v>190231.2</v>
      </c>
      <c r="F59" s="92">
        <f>+E59*1.99715</f>
        <v>379920.24108000001</v>
      </c>
      <c r="G59" s="102">
        <v>42603</v>
      </c>
      <c r="H59" s="94">
        <v>305000</v>
      </c>
      <c r="I59" s="90"/>
      <c r="J59" s="93">
        <v>42607</v>
      </c>
      <c r="K59" s="96">
        <f>163674-64059.36+90538.6</f>
        <v>190153.24</v>
      </c>
      <c r="L59" s="95"/>
      <c r="M59" s="97">
        <f t="shared" si="3"/>
        <v>77.960000000020955</v>
      </c>
      <c r="N59" s="182"/>
      <c r="O59" s="264"/>
      <c r="P59" s="632"/>
      <c r="Q59" s="182"/>
      <c r="R59" s="182"/>
    </row>
    <row r="60" spans="1:18" s="38" customFormat="1" hidden="1" x14ac:dyDescent="0.2">
      <c r="A60" s="115" t="s">
        <v>21</v>
      </c>
      <c r="B60" s="116" t="s">
        <v>84</v>
      </c>
      <c r="C60" s="117">
        <v>42503</v>
      </c>
      <c r="D60" s="90" t="s">
        <v>19</v>
      </c>
      <c r="E60" s="119">
        <v>60309.599999999999</v>
      </c>
      <c r="F60" s="120">
        <f>E60*2.02365</f>
        <v>122045.52204</v>
      </c>
      <c r="G60" s="166">
        <v>42601</v>
      </c>
      <c r="H60" s="122"/>
      <c r="I60" s="118"/>
      <c r="J60" s="121"/>
      <c r="K60" s="123">
        <v>60309.599999999999</v>
      </c>
      <c r="L60" s="124"/>
      <c r="M60" s="125">
        <f t="shared" si="3"/>
        <v>0</v>
      </c>
      <c r="N60" s="182"/>
      <c r="O60" s="163"/>
      <c r="P60" s="632"/>
      <c r="Q60" s="182"/>
      <c r="R60" s="182"/>
    </row>
    <row r="61" spans="1:18" s="38" customFormat="1" hidden="1" x14ac:dyDescent="0.2">
      <c r="A61" s="115" t="s">
        <v>17</v>
      </c>
      <c r="B61" s="116" t="s">
        <v>85</v>
      </c>
      <c r="C61" s="117">
        <v>42513</v>
      </c>
      <c r="D61" s="90" t="s">
        <v>19</v>
      </c>
      <c r="E61" s="119">
        <v>243352.73</v>
      </c>
      <c r="F61" s="120">
        <f>E61*2.02365</f>
        <v>492460.7520645</v>
      </c>
      <c r="G61" s="166">
        <v>42630</v>
      </c>
      <c r="H61" s="122">
        <v>395000</v>
      </c>
      <c r="I61" s="118"/>
      <c r="J61" s="121">
        <v>42638</v>
      </c>
      <c r="K61" s="123">
        <f>123502.1-2842.8+122644.67</f>
        <v>243303.97</v>
      </c>
      <c r="L61" s="124"/>
      <c r="M61" s="125">
        <f t="shared" si="3"/>
        <v>48.760000000009313</v>
      </c>
      <c r="N61" s="182"/>
      <c r="O61" s="163"/>
      <c r="P61" s="632"/>
      <c r="Q61" s="182"/>
      <c r="R61" s="182"/>
    </row>
    <row r="62" spans="1:18" s="38" customFormat="1" hidden="1" x14ac:dyDescent="0.2">
      <c r="A62" s="115" t="s">
        <v>17</v>
      </c>
      <c r="B62" s="116" t="s">
        <v>86</v>
      </c>
      <c r="C62" s="117">
        <v>42506</v>
      </c>
      <c r="D62" s="90" t="s">
        <v>19</v>
      </c>
      <c r="E62" s="119">
        <v>2902.8</v>
      </c>
      <c r="F62" s="120">
        <f>+E62*2.02365</f>
        <v>5874.2512200000001</v>
      </c>
      <c r="G62" s="166">
        <v>42630</v>
      </c>
      <c r="H62" s="122"/>
      <c r="I62" s="118"/>
      <c r="J62" s="124"/>
      <c r="K62" s="123">
        <f>2902.8-60</f>
        <v>2842.8</v>
      </c>
      <c r="L62" s="124"/>
      <c r="M62" s="125">
        <f t="shared" si="3"/>
        <v>60</v>
      </c>
      <c r="N62" s="182"/>
      <c r="O62" s="163"/>
      <c r="Q62" s="182"/>
      <c r="R62" s="182"/>
    </row>
    <row r="63" spans="1:18" hidden="1" x14ac:dyDescent="0.2">
      <c r="A63" s="204" t="s">
        <v>15</v>
      </c>
      <c r="B63" s="205" t="s">
        <v>113</v>
      </c>
      <c r="C63" s="206">
        <v>42515</v>
      </c>
      <c r="D63" s="174" t="s">
        <v>16</v>
      </c>
      <c r="E63" s="207">
        <v>58025.49</v>
      </c>
      <c r="F63" s="208">
        <f>E63*2.28935</f>
        <v>132840.6555315</v>
      </c>
      <c r="G63" s="209">
        <f>+C63+90</f>
        <v>42605</v>
      </c>
      <c r="H63" s="173"/>
      <c r="I63" s="174"/>
      <c r="J63" s="199"/>
      <c r="K63" s="210">
        <f>12985.49+10960+11019+20163.57+2850</f>
        <v>57978.06</v>
      </c>
      <c r="L63" s="199"/>
      <c r="M63" s="211">
        <f t="shared" si="3"/>
        <v>47.430000000000291</v>
      </c>
      <c r="O63" s="302"/>
    </row>
    <row r="64" spans="1:18" s="38" customFormat="1" hidden="1" x14ac:dyDescent="0.2">
      <c r="A64" s="115" t="s">
        <v>17</v>
      </c>
      <c r="B64" s="116" t="s">
        <v>123</v>
      </c>
      <c r="C64" s="117">
        <v>42522</v>
      </c>
      <c r="D64" s="118" t="s">
        <v>19</v>
      </c>
      <c r="E64" s="119">
        <v>181444.41</v>
      </c>
      <c r="F64" s="120">
        <f>+E64*2.0914</f>
        <v>379472.83907400002</v>
      </c>
      <c r="G64" s="166">
        <v>42647</v>
      </c>
      <c r="H64" s="122"/>
      <c r="I64" s="118"/>
      <c r="J64" s="121"/>
      <c r="K64" s="123">
        <f>90963.81+91051.3-637.2</f>
        <v>181377.90999999997</v>
      </c>
      <c r="L64" s="124"/>
      <c r="M64" s="125">
        <f t="shared" si="3"/>
        <v>66.500000000029104</v>
      </c>
      <c r="N64" s="182"/>
      <c r="O64" s="163"/>
      <c r="Q64" s="182"/>
      <c r="R64" s="182"/>
    </row>
    <row r="65" spans="1:18" s="38" customFormat="1" hidden="1" x14ac:dyDescent="0.2">
      <c r="A65" s="115" t="s">
        <v>17</v>
      </c>
      <c r="B65" s="116" t="s">
        <v>124</v>
      </c>
      <c r="C65" s="117">
        <v>42522</v>
      </c>
      <c r="D65" s="118" t="s">
        <v>19</v>
      </c>
      <c r="E65" s="119">
        <v>637.20000000000005</v>
      </c>
      <c r="F65" s="120">
        <f>+E65*2.0914</f>
        <v>1332.6400800000001</v>
      </c>
      <c r="G65" s="166">
        <v>42647</v>
      </c>
      <c r="H65" s="122"/>
      <c r="I65" s="118"/>
      <c r="J65" s="124"/>
      <c r="K65" s="123">
        <v>637.20000000000005</v>
      </c>
      <c r="L65" s="124"/>
      <c r="M65" s="125">
        <f t="shared" si="3"/>
        <v>0</v>
      </c>
      <c r="N65" s="182"/>
      <c r="O65" s="163"/>
      <c r="Q65" s="182"/>
      <c r="R65" s="182"/>
    </row>
    <row r="66" spans="1:18" s="38" customFormat="1" hidden="1" x14ac:dyDescent="0.2">
      <c r="A66" s="115" t="s">
        <v>15</v>
      </c>
      <c r="B66" s="116" t="s">
        <v>125</v>
      </c>
      <c r="C66" s="117">
        <v>42523</v>
      </c>
      <c r="D66" s="118" t="s">
        <v>19</v>
      </c>
      <c r="E66" s="119">
        <v>32695.26</v>
      </c>
      <c r="F66" s="120">
        <f>+E66*2.1062</f>
        <v>68862.756611999997</v>
      </c>
      <c r="G66" s="166">
        <f>+C66+90</f>
        <v>42613</v>
      </c>
      <c r="H66" s="122"/>
      <c r="I66" s="118"/>
      <c r="J66" s="124"/>
      <c r="K66" s="123">
        <v>32614.76</v>
      </c>
      <c r="L66" s="124"/>
      <c r="M66" s="125">
        <f t="shared" si="3"/>
        <v>80.5</v>
      </c>
      <c r="N66" s="182"/>
      <c r="O66" s="163"/>
      <c r="Q66" s="182"/>
      <c r="R66" s="182"/>
    </row>
    <row r="67" spans="1:18" hidden="1" x14ac:dyDescent="0.2">
      <c r="A67" s="204" t="s">
        <v>15</v>
      </c>
      <c r="B67" s="205" t="s">
        <v>126</v>
      </c>
      <c r="C67" s="206">
        <v>42527</v>
      </c>
      <c r="D67" s="174" t="s">
        <v>16</v>
      </c>
      <c r="E67" s="207">
        <v>33241.94</v>
      </c>
      <c r="F67" s="208">
        <f>+E67*2.34895</f>
        <v>78083.654963000008</v>
      </c>
      <c r="G67" s="209">
        <f>+C67+90</f>
        <v>42617</v>
      </c>
      <c r="H67" s="122"/>
      <c r="I67" s="174"/>
      <c r="J67" s="199"/>
      <c r="K67" s="210">
        <f>813.45+12225+20000</f>
        <v>33038.449999999997</v>
      </c>
      <c r="L67" s="199"/>
      <c r="M67" s="211">
        <f t="shared" si="3"/>
        <v>203.49000000000524</v>
      </c>
      <c r="O67" s="302"/>
    </row>
    <row r="68" spans="1:18" hidden="1" x14ac:dyDescent="0.2">
      <c r="A68" s="204" t="s">
        <v>20</v>
      </c>
      <c r="B68" s="205" t="s">
        <v>120</v>
      </c>
      <c r="C68" s="206">
        <v>42528</v>
      </c>
      <c r="D68" s="174" t="s">
        <v>16</v>
      </c>
      <c r="E68" s="207">
        <v>249442.34</v>
      </c>
      <c r="F68" s="208">
        <f>+E68*2.3642</f>
        <v>589731.58022799995</v>
      </c>
      <c r="G68" s="209">
        <f>+C68+90</f>
        <v>42618</v>
      </c>
      <c r="H68" s="122"/>
      <c r="I68" s="174"/>
      <c r="J68" s="199"/>
      <c r="K68" s="210">
        <f>60000+39960+39950+25000+10000+25000+49500</f>
        <v>249410</v>
      </c>
      <c r="L68" s="199"/>
      <c r="M68" s="211">
        <f t="shared" si="3"/>
        <v>32.339999999996508</v>
      </c>
      <c r="O68" s="302"/>
    </row>
    <row r="69" spans="1:18" hidden="1" x14ac:dyDescent="0.2">
      <c r="A69" s="204" t="s">
        <v>20</v>
      </c>
      <c r="B69" s="205" t="s">
        <v>133</v>
      </c>
      <c r="C69" s="206">
        <v>42552</v>
      </c>
      <c r="D69" s="174" t="s">
        <v>16</v>
      </c>
      <c r="E69" s="207">
        <v>247327.72</v>
      </c>
      <c r="F69" s="208">
        <f>+E69*2.43635</f>
        <v>602576.89062199998</v>
      </c>
      <c r="G69" s="209">
        <f>+C69+90</f>
        <v>42642</v>
      </c>
      <c r="H69" s="173">
        <v>485000</v>
      </c>
      <c r="I69" s="174"/>
      <c r="J69" s="175">
        <v>42648</v>
      </c>
      <c r="K69" s="210">
        <f>64922.5-49500+85000+59957+79548.68+7399.54</f>
        <v>247327.72</v>
      </c>
      <c r="L69" s="199"/>
      <c r="M69" s="211">
        <f t="shared" si="3"/>
        <v>0</v>
      </c>
      <c r="O69" s="302"/>
    </row>
    <row r="70" spans="1:18" s="38" customFormat="1" hidden="1" x14ac:dyDescent="0.2">
      <c r="A70" s="115" t="s">
        <v>17</v>
      </c>
      <c r="B70" s="116" t="s">
        <v>130</v>
      </c>
      <c r="C70" s="117">
        <v>42565</v>
      </c>
      <c r="D70" s="118" t="s">
        <v>19</v>
      </c>
      <c r="E70" s="119">
        <v>182006.54</v>
      </c>
      <c r="F70" s="120">
        <f>E70*2.20895</f>
        <v>402043.34653300006</v>
      </c>
      <c r="G70" s="166">
        <v>42698</v>
      </c>
      <c r="H70" s="122">
        <v>320000</v>
      </c>
      <c r="I70" s="118"/>
      <c r="J70" s="121">
        <v>42689</v>
      </c>
      <c r="K70" s="123">
        <f>72601.19+90445.6+18809.75</f>
        <v>181856.54</v>
      </c>
      <c r="L70" s="124"/>
      <c r="M70" s="125">
        <f t="shared" si="3"/>
        <v>150</v>
      </c>
      <c r="N70" s="182"/>
      <c r="O70" s="163"/>
      <c r="Q70" s="182"/>
      <c r="R70" s="182"/>
    </row>
    <row r="71" spans="1:18" hidden="1" x14ac:dyDescent="0.2">
      <c r="A71" s="204" t="s">
        <v>15</v>
      </c>
      <c r="B71" s="205" t="s">
        <v>131</v>
      </c>
      <c r="C71" s="206">
        <v>42583</v>
      </c>
      <c r="D71" s="174" t="s">
        <v>16</v>
      </c>
      <c r="E71" s="207">
        <v>47822.32</v>
      </c>
      <c r="F71" s="208">
        <f>+E71*2.45605</f>
        <v>117454.00903599999</v>
      </c>
      <c r="G71" s="209">
        <f>+C71+90</f>
        <v>42673</v>
      </c>
      <c r="H71" s="173"/>
      <c r="I71" s="174"/>
      <c r="J71" s="199"/>
      <c r="K71" s="210">
        <f>10994.42+15629.1+21150</f>
        <v>47773.520000000004</v>
      </c>
      <c r="L71" s="199"/>
      <c r="M71" s="211">
        <f t="shared" si="3"/>
        <v>48.799999999995634</v>
      </c>
      <c r="O71" s="302"/>
      <c r="P71" s="180"/>
    </row>
    <row r="72" spans="1:18" hidden="1" x14ac:dyDescent="0.2">
      <c r="A72" s="204" t="s">
        <v>20</v>
      </c>
      <c r="B72" s="205" t="s">
        <v>132</v>
      </c>
      <c r="C72" s="206">
        <v>42585</v>
      </c>
      <c r="D72" s="174" t="s">
        <v>16</v>
      </c>
      <c r="E72" s="207">
        <v>256710.39999999999</v>
      </c>
      <c r="F72" s="208">
        <f>+E72*2.45645</f>
        <v>630596.2620799999</v>
      </c>
      <c r="G72" s="209">
        <f>+C72+90</f>
        <v>42675</v>
      </c>
      <c r="H72" s="173"/>
      <c r="I72" s="174"/>
      <c r="J72" s="199"/>
      <c r="K72" s="210">
        <f>39965-7399.54+99975+99955+24214.94</f>
        <v>256710.39999999999</v>
      </c>
      <c r="L72" s="199"/>
      <c r="M72" s="211">
        <f t="shared" si="3"/>
        <v>0</v>
      </c>
      <c r="O72" s="302"/>
    </row>
    <row r="73" spans="1:18" s="38" customFormat="1" hidden="1" x14ac:dyDescent="0.2">
      <c r="A73" s="115" t="s">
        <v>21</v>
      </c>
      <c r="B73" s="116" t="s">
        <v>137</v>
      </c>
      <c r="C73" s="117">
        <v>42594</v>
      </c>
      <c r="D73" s="90" t="s">
        <v>19</v>
      </c>
      <c r="E73" s="119">
        <v>61609.599999999999</v>
      </c>
      <c r="F73" s="120">
        <f>+E73*2.20485</f>
        <v>135839.92655999999</v>
      </c>
      <c r="G73" s="166">
        <v>42692</v>
      </c>
      <c r="H73" s="173"/>
      <c r="I73" s="174"/>
      <c r="J73" s="175"/>
      <c r="K73" s="123">
        <v>61609.599999999999</v>
      </c>
      <c r="L73" s="124"/>
      <c r="M73" s="125">
        <f t="shared" ref="M73:M139" si="4">E73-K73</f>
        <v>0</v>
      </c>
      <c r="N73" s="182"/>
      <c r="O73" s="163"/>
      <c r="Q73" s="182"/>
      <c r="R73" s="182"/>
    </row>
    <row r="74" spans="1:18" s="38" customFormat="1" hidden="1" x14ac:dyDescent="0.2">
      <c r="A74" s="115" t="s">
        <v>17</v>
      </c>
      <c r="B74" s="116" t="s">
        <v>135</v>
      </c>
      <c r="C74" s="117">
        <v>42599</v>
      </c>
      <c r="D74" s="118" t="s">
        <v>19</v>
      </c>
      <c r="E74" s="119">
        <v>201518.23</v>
      </c>
      <c r="F74" s="120">
        <f>E74*2.18885</f>
        <v>441093.17773550004</v>
      </c>
      <c r="G74" s="166">
        <v>42722</v>
      </c>
      <c r="H74" s="173"/>
      <c r="I74" s="174"/>
      <c r="J74" s="199"/>
      <c r="K74" s="123">
        <f>90429.6+110873.72</f>
        <v>201303.32</v>
      </c>
      <c r="L74" s="124"/>
      <c r="M74" s="125">
        <f t="shared" si="4"/>
        <v>214.91000000000349</v>
      </c>
      <c r="N74" s="182"/>
      <c r="O74" s="163"/>
      <c r="P74" s="182"/>
      <c r="Q74" s="182"/>
      <c r="R74" s="182"/>
    </row>
    <row r="75" spans="1:18" hidden="1" x14ac:dyDescent="0.2">
      <c r="A75" s="204" t="s">
        <v>20</v>
      </c>
      <c r="B75" s="205" t="s">
        <v>134</v>
      </c>
      <c r="C75" s="206">
        <v>42599</v>
      </c>
      <c r="D75" s="174" t="s">
        <v>16</v>
      </c>
      <c r="E75" s="207">
        <v>176779.1</v>
      </c>
      <c r="F75" s="208">
        <f>E75*2.4649</f>
        <v>435742.80359000002</v>
      </c>
      <c r="G75" s="209">
        <f>+C75+90</f>
        <v>42689</v>
      </c>
      <c r="H75" s="173"/>
      <c r="I75" s="174"/>
      <c r="J75" s="199"/>
      <c r="K75" s="210">
        <f>50000-24214.94+59950+24965+66079.04</f>
        <v>176779.09999999998</v>
      </c>
      <c r="L75" s="199"/>
      <c r="M75" s="211">
        <f t="shared" si="4"/>
        <v>0</v>
      </c>
      <c r="O75" s="302"/>
    </row>
    <row r="76" spans="1:18" hidden="1" x14ac:dyDescent="0.2">
      <c r="A76" s="204" t="s">
        <v>20</v>
      </c>
      <c r="B76" s="205" t="s">
        <v>136</v>
      </c>
      <c r="C76" s="206">
        <v>42606</v>
      </c>
      <c r="D76" s="174" t="s">
        <v>16</v>
      </c>
      <c r="E76" s="207">
        <v>182078.8</v>
      </c>
      <c r="F76" s="208">
        <f>+E76*2.4651</f>
        <v>448842.44987999997</v>
      </c>
      <c r="G76" s="209">
        <f>+C76+90</f>
        <v>42696</v>
      </c>
      <c r="H76" s="173"/>
      <c r="I76" s="174"/>
      <c r="J76" s="199"/>
      <c r="K76" s="210">
        <f>86970-66079.04+44970+99975+16242.84</f>
        <v>182078.80000000002</v>
      </c>
      <c r="L76" s="199"/>
      <c r="M76" s="211">
        <f t="shared" si="4"/>
        <v>0</v>
      </c>
      <c r="O76" s="302"/>
    </row>
    <row r="77" spans="1:18" s="38" customFormat="1" hidden="1" x14ac:dyDescent="0.2">
      <c r="A77" s="115" t="s">
        <v>17</v>
      </c>
      <c r="B77" s="116" t="s">
        <v>138</v>
      </c>
      <c r="C77" s="117">
        <v>42619</v>
      </c>
      <c r="D77" s="118" t="s">
        <v>19</v>
      </c>
      <c r="E77" s="119">
        <v>201819.58</v>
      </c>
      <c r="F77" s="120">
        <f>+E77*2.19925</f>
        <v>443851.71131500002</v>
      </c>
      <c r="G77" s="166">
        <f>+C77+120</f>
        <v>42739</v>
      </c>
      <c r="H77" s="173"/>
      <c r="I77" s="174"/>
      <c r="J77" s="199"/>
      <c r="K77" s="123">
        <f>90445.6+111210.5</f>
        <v>201656.1</v>
      </c>
      <c r="L77" s="124"/>
      <c r="M77" s="125">
        <f t="shared" si="4"/>
        <v>163.47999999998137</v>
      </c>
      <c r="N77" s="182"/>
      <c r="O77" s="633"/>
      <c r="Q77" s="182"/>
      <c r="R77" s="182"/>
    </row>
    <row r="78" spans="1:18" hidden="1" x14ac:dyDescent="0.2">
      <c r="A78" s="204" t="s">
        <v>20</v>
      </c>
      <c r="B78" s="205" t="s">
        <v>139</v>
      </c>
      <c r="C78" s="206">
        <v>42619</v>
      </c>
      <c r="D78" s="174" t="s">
        <v>16</v>
      </c>
      <c r="E78" s="207">
        <v>93763.1</v>
      </c>
      <c r="F78" s="208">
        <f>+E78*2.45675</f>
        <v>230352.49592500002</v>
      </c>
      <c r="G78" s="209">
        <f>+C78+90</f>
        <v>42709</v>
      </c>
      <c r="H78" s="173"/>
      <c r="I78" s="174"/>
      <c r="J78" s="199"/>
      <c r="K78" s="210">
        <f>49970-16242.84+60035.94</f>
        <v>93763.1</v>
      </c>
      <c r="L78" s="199"/>
      <c r="M78" s="211">
        <f t="shared" si="4"/>
        <v>0</v>
      </c>
      <c r="O78" s="302"/>
    </row>
    <row r="79" spans="1:18" hidden="1" x14ac:dyDescent="0.2">
      <c r="A79" s="204" t="s">
        <v>20</v>
      </c>
      <c r="B79" s="205" t="s">
        <v>140</v>
      </c>
      <c r="C79" s="206">
        <v>42634</v>
      </c>
      <c r="D79" s="174" t="s">
        <v>9</v>
      </c>
      <c r="E79" s="207">
        <v>490473.728</v>
      </c>
      <c r="F79" s="208">
        <f>+E79</f>
        <v>490473.728</v>
      </c>
      <c r="G79" s="209">
        <f>+C79+90</f>
        <v>42724</v>
      </c>
      <c r="H79" s="173">
        <v>390000</v>
      </c>
      <c r="I79" s="174"/>
      <c r="J79" s="175">
        <v>42719</v>
      </c>
      <c r="K79" s="210">
        <v>483301.39899999998</v>
      </c>
      <c r="L79" s="199"/>
      <c r="M79" s="211">
        <f t="shared" si="4"/>
        <v>7172.329000000027</v>
      </c>
      <c r="O79" s="302"/>
    </row>
    <row r="80" spans="1:18" s="38" customFormat="1" hidden="1" x14ac:dyDescent="0.2">
      <c r="A80" s="115" t="s">
        <v>17</v>
      </c>
      <c r="B80" s="116" t="s">
        <v>143</v>
      </c>
      <c r="C80" s="117">
        <v>42646</v>
      </c>
      <c r="D80" s="118" t="s">
        <v>19</v>
      </c>
      <c r="E80" s="119">
        <v>206062.8</v>
      </c>
      <c r="F80" s="120">
        <f>+E80*2.1936</f>
        <v>452019.35807999998</v>
      </c>
      <c r="G80" s="166">
        <f>+C80+120</f>
        <v>42766</v>
      </c>
      <c r="H80" s="122"/>
      <c r="I80" s="118"/>
      <c r="J80" s="121"/>
      <c r="K80" s="123">
        <f>90445.6+62781.5+52565.5</f>
        <v>205792.6</v>
      </c>
      <c r="L80" s="124"/>
      <c r="M80" s="125">
        <f t="shared" si="4"/>
        <v>270.19999999998254</v>
      </c>
      <c r="N80" s="182"/>
      <c r="O80" s="163"/>
      <c r="Q80" s="182"/>
      <c r="R80" s="182"/>
    </row>
    <row r="81" spans="1:18" hidden="1" x14ac:dyDescent="0.2">
      <c r="A81" s="204" t="s">
        <v>20</v>
      </c>
      <c r="B81" s="205" t="s">
        <v>142</v>
      </c>
      <c r="C81" s="206">
        <v>42647</v>
      </c>
      <c r="D81" s="174" t="s">
        <v>16</v>
      </c>
      <c r="E81" s="207">
        <v>90619.199999999997</v>
      </c>
      <c r="F81" s="208">
        <f>+E81*2.4659</f>
        <v>223457.88527999999</v>
      </c>
      <c r="G81" s="209">
        <f>+C81+90</f>
        <v>42737</v>
      </c>
      <c r="H81" s="173"/>
      <c r="I81" s="174"/>
      <c r="J81" s="175"/>
      <c r="K81" s="210">
        <f>99832.71-60035.94+50800</f>
        <v>90596.77</v>
      </c>
      <c r="L81" s="199"/>
      <c r="M81" s="211">
        <f t="shared" si="4"/>
        <v>22.429999999993015</v>
      </c>
      <c r="O81" s="302"/>
    </row>
    <row r="82" spans="1:18" s="38" customFormat="1" hidden="1" x14ac:dyDescent="0.2">
      <c r="A82" s="115" t="s">
        <v>17</v>
      </c>
      <c r="B82" s="116" t="s">
        <v>144</v>
      </c>
      <c r="C82" s="117">
        <v>42661</v>
      </c>
      <c r="D82" s="118" t="s">
        <v>19</v>
      </c>
      <c r="E82" s="119">
        <v>137375.20000000001</v>
      </c>
      <c r="F82" s="120">
        <f>E82*2.23355</f>
        <v>306834.37796000007</v>
      </c>
      <c r="G82" s="166">
        <f>+C82+120</f>
        <v>42781</v>
      </c>
      <c r="H82" s="122"/>
      <c r="I82" s="118"/>
      <c r="J82" s="121"/>
      <c r="K82" s="123">
        <f>60289.4+76922.5</f>
        <v>137211.9</v>
      </c>
      <c r="L82" s="124"/>
      <c r="M82" s="125">
        <f t="shared" si="4"/>
        <v>163.30000000001746</v>
      </c>
      <c r="N82" s="182"/>
      <c r="O82" s="163"/>
      <c r="Q82" s="182"/>
      <c r="R82" s="182"/>
    </row>
    <row r="83" spans="1:18" hidden="1" x14ac:dyDescent="0.2">
      <c r="A83" s="204" t="s">
        <v>20</v>
      </c>
      <c r="B83" s="205" t="s">
        <v>145</v>
      </c>
      <c r="C83" s="206">
        <v>42667</v>
      </c>
      <c r="D83" s="174" t="s">
        <v>16</v>
      </c>
      <c r="E83" s="207">
        <v>275267.21999999997</v>
      </c>
      <c r="F83" s="208">
        <f>E83*2.4408</f>
        <v>671872.23057599994</v>
      </c>
      <c r="G83" s="209">
        <f>+C83+90</f>
        <v>42757</v>
      </c>
      <c r="H83" s="173"/>
      <c r="I83" s="174"/>
      <c r="J83" s="175"/>
      <c r="K83" s="210">
        <f>86880.37-50800+49880.54+99832.65+50000+39400</f>
        <v>275193.56</v>
      </c>
      <c r="L83" s="199"/>
      <c r="M83" s="211">
        <f t="shared" si="4"/>
        <v>73.659999999974389</v>
      </c>
      <c r="O83" s="302"/>
    </row>
    <row r="84" spans="1:18" hidden="1" x14ac:dyDescent="0.2">
      <c r="A84" s="204" t="s">
        <v>20</v>
      </c>
      <c r="B84" s="205" t="s">
        <v>146</v>
      </c>
      <c r="C84" s="206">
        <v>42674</v>
      </c>
      <c r="D84" s="174" t="s">
        <v>16</v>
      </c>
      <c r="E84" s="207">
        <v>267067.84999999998</v>
      </c>
      <c r="F84" s="208">
        <f>E84*2.45085</f>
        <v>654543.24017249991</v>
      </c>
      <c r="G84" s="209">
        <f>C84+90</f>
        <v>42764</v>
      </c>
      <c r="H84" s="173"/>
      <c r="I84" s="174"/>
      <c r="J84" s="175"/>
      <c r="K84" s="210">
        <f>11960+49900+24900+89900+79950+10400</f>
        <v>267010</v>
      </c>
      <c r="L84" s="199"/>
      <c r="M84" s="211">
        <f t="shared" si="4"/>
        <v>57.849999999976717</v>
      </c>
      <c r="O84" s="302"/>
    </row>
    <row r="85" spans="1:18" s="38" customFormat="1" hidden="1" x14ac:dyDescent="0.2">
      <c r="A85" s="115" t="s">
        <v>21</v>
      </c>
      <c r="B85" s="116" t="s">
        <v>147</v>
      </c>
      <c r="C85" s="117">
        <v>42682</v>
      </c>
      <c r="D85" s="118" t="s">
        <v>19</v>
      </c>
      <c r="E85" s="119">
        <v>61851.199999999997</v>
      </c>
      <c r="F85" s="120">
        <f>+E85*2.22055</f>
        <v>137343.68215999997</v>
      </c>
      <c r="G85" s="166">
        <f>+C85+90</f>
        <v>42772</v>
      </c>
      <c r="H85" s="122"/>
      <c r="I85" s="118"/>
      <c r="J85" s="121"/>
      <c r="K85" s="123">
        <v>61851.199999999997</v>
      </c>
      <c r="L85" s="124"/>
      <c r="M85" s="125">
        <f t="shared" si="4"/>
        <v>0</v>
      </c>
      <c r="N85" s="182"/>
      <c r="O85" s="163"/>
      <c r="Q85" s="182"/>
      <c r="R85" s="182"/>
    </row>
    <row r="86" spans="1:18" hidden="1" x14ac:dyDescent="0.2">
      <c r="A86" s="204" t="s">
        <v>15</v>
      </c>
      <c r="B86" s="205" t="s">
        <v>148</v>
      </c>
      <c r="C86" s="206">
        <v>42688</v>
      </c>
      <c r="D86" s="174" t="s">
        <v>16</v>
      </c>
      <c r="E86" s="207">
        <v>63212.1</v>
      </c>
      <c r="F86" s="208">
        <f>+E86*2.43455</f>
        <v>153893.01805500002</v>
      </c>
      <c r="G86" s="209">
        <f>+C86+60</f>
        <v>42748</v>
      </c>
      <c r="H86" s="173"/>
      <c r="I86" s="174"/>
      <c r="J86" s="175"/>
      <c r="K86" s="210">
        <v>63200</v>
      </c>
      <c r="L86" s="199"/>
      <c r="M86" s="211">
        <f t="shared" si="4"/>
        <v>12.099999999998545</v>
      </c>
      <c r="O86" s="302"/>
    </row>
    <row r="87" spans="1:18" s="38" customFormat="1" hidden="1" x14ac:dyDescent="0.2">
      <c r="A87" s="115" t="s">
        <v>17</v>
      </c>
      <c r="B87" s="116" t="s">
        <v>149</v>
      </c>
      <c r="C87" s="117">
        <v>42695</v>
      </c>
      <c r="D87" s="118" t="s">
        <v>19</v>
      </c>
      <c r="E87" s="119">
        <v>218812.7</v>
      </c>
      <c r="F87" s="120">
        <f>+E87*2.2844</f>
        <v>499855.73188000009</v>
      </c>
      <c r="G87" s="166">
        <f>+C87+120</f>
        <v>42815</v>
      </c>
      <c r="H87" s="122">
        <v>400000</v>
      </c>
      <c r="I87" s="118"/>
      <c r="J87" s="121">
        <v>42819</v>
      </c>
      <c r="K87" s="123">
        <f>90505.8+128142.5</f>
        <v>218648.3</v>
      </c>
      <c r="L87" s="124"/>
      <c r="M87" s="125">
        <f t="shared" si="4"/>
        <v>164.40000000002328</v>
      </c>
      <c r="N87" s="182"/>
      <c r="O87" s="634"/>
      <c r="Q87" s="182"/>
      <c r="R87" s="182"/>
    </row>
    <row r="88" spans="1:18" x14ac:dyDescent="0.2">
      <c r="A88" s="233" t="s">
        <v>21</v>
      </c>
      <c r="B88" s="200" t="s">
        <v>151</v>
      </c>
      <c r="C88" s="234">
        <v>42703</v>
      </c>
      <c r="D88" s="235" t="s">
        <v>19</v>
      </c>
      <c r="E88" s="236">
        <v>60082</v>
      </c>
      <c r="F88" s="201">
        <f>+E88*2.2879</f>
        <v>137461.6078</v>
      </c>
      <c r="G88" s="590">
        <f>+C88+90</f>
        <v>42793</v>
      </c>
      <c r="H88" s="238"/>
      <c r="I88" s="235"/>
      <c r="J88" s="237"/>
      <c r="K88" s="239"/>
      <c r="L88" s="240"/>
      <c r="M88" s="241">
        <f t="shared" si="4"/>
        <v>60082</v>
      </c>
      <c r="O88" s="302"/>
    </row>
    <row r="89" spans="1:18" hidden="1" x14ac:dyDescent="0.2">
      <c r="A89" s="204" t="s">
        <v>20</v>
      </c>
      <c r="B89" s="205" t="s">
        <v>154</v>
      </c>
      <c r="C89" s="206">
        <v>42714</v>
      </c>
      <c r="D89" s="174" t="s">
        <v>16</v>
      </c>
      <c r="E89" s="207">
        <v>189405.85</v>
      </c>
      <c r="F89" s="208">
        <f>+E89*2.42685</f>
        <v>459659.58707250003</v>
      </c>
      <c r="G89" s="209">
        <f>+C89+90</f>
        <v>42804</v>
      </c>
      <c r="H89" s="173"/>
      <c r="I89" s="174"/>
      <c r="J89" s="175"/>
      <c r="K89" s="210">
        <f>11585+24960+59900+21930+14930+27960+28100</f>
        <v>189365</v>
      </c>
      <c r="L89" s="199"/>
      <c r="M89" s="211">
        <f t="shared" si="4"/>
        <v>40.850000000005821</v>
      </c>
      <c r="O89" s="302"/>
    </row>
    <row r="90" spans="1:18" hidden="1" x14ac:dyDescent="0.2">
      <c r="A90" s="204" t="s">
        <v>20</v>
      </c>
      <c r="B90" s="205" t="s">
        <v>155</v>
      </c>
      <c r="C90" s="206">
        <v>42731</v>
      </c>
      <c r="D90" s="174" t="s">
        <v>16</v>
      </c>
      <c r="E90" s="207">
        <v>288116.08</v>
      </c>
      <c r="F90" s="208">
        <f>+E90*2.41755</f>
        <v>696535.02920400002</v>
      </c>
      <c r="G90" s="209">
        <f>+C90+60</f>
        <v>42791</v>
      </c>
      <c r="H90" s="173"/>
      <c r="I90" s="174"/>
      <c r="J90" s="175"/>
      <c r="K90" s="210">
        <f>31982-28100+27930+26000+14982+21955+40955+45000+51000+39900+16500</f>
        <v>288104</v>
      </c>
      <c r="L90" s="199"/>
      <c r="M90" s="211">
        <f t="shared" si="4"/>
        <v>12.080000000016298</v>
      </c>
      <c r="O90" s="302"/>
    </row>
    <row r="91" spans="1:18" s="38" customFormat="1" hidden="1" x14ac:dyDescent="0.2">
      <c r="A91" s="115" t="s">
        <v>17</v>
      </c>
      <c r="B91" s="116" t="s">
        <v>157</v>
      </c>
      <c r="C91" s="117">
        <v>42733</v>
      </c>
      <c r="D91" s="118" t="s">
        <v>19</v>
      </c>
      <c r="E91" s="119">
        <v>145787.49</v>
      </c>
      <c r="F91" s="120">
        <f>+E91*2.31175</f>
        <v>337024.23000749998</v>
      </c>
      <c r="G91" s="166">
        <f>+C91+120</f>
        <v>42853</v>
      </c>
      <c r="H91" s="122"/>
      <c r="I91" s="118"/>
      <c r="J91" s="121"/>
      <c r="K91" s="123">
        <f>60280.4+85392</f>
        <v>145672.4</v>
      </c>
      <c r="L91" s="124"/>
      <c r="M91" s="125">
        <f t="shared" si="4"/>
        <v>115.08999999999651</v>
      </c>
      <c r="N91" s="182"/>
      <c r="O91" s="163"/>
      <c r="Q91" s="182"/>
      <c r="R91" s="182"/>
    </row>
    <row r="92" spans="1:18" hidden="1" x14ac:dyDescent="0.2">
      <c r="A92" s="204" t="s">
        <v>20</v>
      </c>
      <c r="B92" s="205" t="s">
        <v>159</v>
      </c>
      <c r="C92" s="206">
        <v>42753</v>
      </c>
      <c r="D92" s="174" t="s">
        <v>16</v>
      </c>
      <c r="E92" s="207">
        <v>288576.96000000002</v>
      </c>
      <c r="F92" s="208">
        <f>+E92*2.42535</f>
        <v>699900.12993599998</v>
      </c>
      <c r="G92" s="209">
        <f>+C92+60</f>
        <v>42813</v>
      </c>
      <c r="H92" s="173"/>
      <c r="I92" s="174"/>
      <c r="J92" s="175"/>
      <c r="K92" s="210">
        <f>34000-16500+40000+35000+50500+10000+74500+54500+6500</f>
        <v>288500</v>
      </c>
      <c r="L92" s="199"/>
      <c r="M92" s="211">
        <f t="shared" si="4"/>
        <v>76.960000000020955</v>
      </c>
      <c r="O92" s="302"/>
    </row>
    <row r="93" spans="1:18" hidden="1" x14ac:dyDescent="0.2">
      <c r="A93" s="204" t="s">
        <v>20</v>
      </c>
      <c r="B93" s="205" t="s">
        <v>160</v>
      </c>
      <c r="C93" s="206">
        <v>42772</v>
      </c>
      <c r="D93" s="174" t="s">
        <v>16</v>
      </c>
      <c r="E93" s="207">
        <v>90850.1</v>
      </c>
      <c r="F93" s="208">
        <f>+E93*2.4309</f>
        <v>220847.50808999999</v>
      </c>
      <c r="G93" s="209">
        <f>+C93+60</f>
        <v>42832</v>
      </c>
      <c r="H93" s="173"/>
      <c r="I93" s="174"/>
      <c r="J93" s="175"/>
      <c r="K93" s="210">
        <f>24600-6500+72500</f>
        <v>90600</v>
      </c>
      <c r="L93" s="199"/>
      <c r="M93" s="211">
        <f t="shared" si="4"/>
        <v>250.10000000000582</v>
      </c>
      <c r="O93" s="302"/>
      <c r="P93" s="187"/>
    </row>
    <row r="94" spans="1:18" s="38" customFormat="1" hidden="1" x14ac:dyDescent="0.2">
      <c r="A94" s="115" t="s">
        <v>17</v>
      </c>
      <c r="B94" s="116" t="s">
        <v>163</v>
      </c>
      <c r="C94" s="117">
        <v>42786</v>
      </c>
      <c r="D94" s="118" t="s">
        <v>19</v>
      </c>
      <c r="E94" s="119">
        <v>152438.76999999999</v>
      </c>
      <c r="F94" s="120">
        <f>+E94*2.2847</f>
        <v>348276.85781899997</v>
      </c>
      <c r="G94" s="166">
        <f>+C94+120</f>
        <v>42906</v>
      </c>
      <c r="H94" s="122"/>
      <c r="I94" s="118"/>
      <c r="J94" s="121"/>
      <c r="K94" s="123">
        <f>60270.4+91998.5</f>
        <v>152268.9</v>
      </c>
      <c r="L94" s="124"/>
      <c r="M94" s="125">
        <f t="shared" si="4"/>
        <v>169.86999999999534</v>
      </c>
      <c r="N94" s="182"/>
      <c r="O94" s="163"/>
      <c r="P94" s="192"/>
      <c r="Q94" s="180"/>
      <c r="R94" s="182"/>
    </row>
    <row r="95" spans="1:18" hidden="1" x14ac:dyDescent="0.2">
      <c r="A95" s="204" t="s">
        <v>20</v>
      </c>
      <c r="B95" s="205" t="s">
        <v>166</v>
      </c>
      <c r="C95" s="206">
        <v>42786</v>
      </c>
      <c r="D95" s="174" t="s">
        <v>16</v>
      </c>
      <c r="E95" s="207">
        <v>103380.36</v>
      </c>
      <c r="F95" s="208">
        <f>+E95*2.41935</f>
        <v>250113.27396600001</v>
      </c>
      <c r="G95" s="209">
        <f>+C95+60</f>
        <v>42846</v>
      </c>
      <c r="H95" s="122"/>
      <c r="I95" s="174"/>
      <c r="J95" s="175"/>
      <c r="K95" s="210">
        <f>44000+59200</f>
        <v>103200</v>
      </c>
      <c r="L95" s="199"/>
      <c r="M95" s="211">
        <f t="shared" si="4"/>
        <v>180.36000000000058</v>
      </c>
      <c r="O95" s="302"/>
      <c r="P95" s="187"/>
    </row>
    <row r="96" spans="1:18" s="38" customFormat="1" hidden="1" x14ac:dyDescent="0.2">
      <c r="A96" s="115" t="s">
        <v>17</v>
      </c>
      <c r="B96" s="116" t="s">
        <v>168</v>
      </c>
      <c r="C96" s="117">
        <v>42827</v>
      </c>
      <c r="D96" s="118" t="s">
        <v>19</v>
      </c>
      <c r="E96" s="119">
        <v>153807</v>
      </c>
      <c r="F96" s="120">
        <f>+E96*2.25845</f>
        <v>347365.41914999997</v>
      </c>
      <c r="G96" s="166">
        <f>+C96+120</f>
        <v>42947</v>
      </c>
      <c r="H96" s="122"/>
      <c r="I96" s="118"/>
      <c r="J96" s="121"/>
      <c r="K96" s="123">
        <f>60269.4+93352.5</f>
        <v>153621.9</v>
      </c>
      <c r="L96" s="124"/>
      <c r="M96" s="125">
        <f t="shared" si="4"/>
        <v>185.10000000000582</v>
      </c>
      <c r="N96" s="182"/>
      <c r="O96" s="163"/>
      <c r="P96" s="192"/>
      <c r="Q96" s="180"/>
      <c r="R96" s="182"/>
    </row>
    <row r="97" spans="1:21" hidden="1" x14ac:dyDescent="0.2">
      <c r="A97" s="204" t="s">
        <v>20</v>
      </c>
      <c r="B97" s="205" t="s">
        <v>169</v>
      </c>
      <c r="C97" s="206">
        <v>42823</v>
      </c>
      <c r="D97" s="174" t="s">
        <v>16</v>
      </c>
      <c r="E97" s="207">
        <v>294951.15000000002</v>
      </c>
      <c r="F97" s="208">
        <f>+E97*2.42915</f>
        <v>716480.58602250007</v>
      </c>
      <c r="G97" s="209">
        <f t="shared" ref="G97:G139" si="5">+C97+60</f>
        <v>42883</v>
      </c>
      <c r="H97" s="173"/>
      <c r="I97" s="174"/>
      <c r="J97" s="175"/>
      <c r="K97" s="210">
        <f>250000+44800</f>
        <v>294800</v>
      </c>
      <c r="L97" s="199"/>
      <c r="M97" s="211">
        <f t="shared" si="4"/>
        <v>151.15000000002328</v>
      </c>
      <c r="O97" s="302"/>
    </row>
    <row r="98" spans="1:21" hidden="1" x14ac:dyDescent="0.2">
      <c r="A98" s="204" t="s">
        <v>15</v>
      </c>
      <c r="B98" s="205" t="s">
        <v>171</v>
      </c>
      <c r="C98" s="206">
        <v>42849</v>
      </c>
      <c r="D98" s="174" t="s">
        <v>16</v>
      </c>
      <c r="E98" s="207">
        <v>34976.019999999997</v>
      </c>
      <c r="F98" s="208">
        <f>+E98*2.48185</f>
        <v>86805.235237000001</v>
      </c>
      <c r="G98" s="209">
        <f t="shared" si="5"/>
        <v>42909</v>
      </c>
      <c r="H98" s="173"/>
      <c r="I98" s="174"/>
      <c r="J98" s="175"/>
      <c r="K98" s="210">
        <f>15600+9960+9266.92</f>
        <v>34826.92</v>
      </c>
      <c r="L98" s="199"/>
      <c r="M98" s="211">
        <f t="shared" si="4"/>
        <v>149.09999999999854</v>
      </c>
      <c r="O98" s="302"/>
    </row>
    <row r="99" spans="1:21" hidden="1" x14ac:dyDescent="0.2">
      <c r="A99" s="204" t="s">
        <v>20</v>
      </c>
      <c r="B99" s="205" t="s">
        <v>172</v>
      </c>
      <c r="C99" s="206">
        <v>42863</v>
      </c>
      <c r="D99" s="174" t="s">
        <v>16</v>
      </c>
      <c r="E99" s="207">
        <v>184309.16</v>
      </c>
      <c r="F99" s="208">
        <f>+E99*2.6311</f>
        <v>484935.83087599999</v>
      </c>
      <c r="G99" s="209">
        <f t="shared" si="5"/>
        <v>42923</v>
      </c>
      <c r="H99" s="173"/>
      <c r="I99" s="174"/>
      <c r="J99" s="175"/>
      <c r="K99" s="210">
        <f>36000+15000+95000+4000+34200</f>
        <v>184200</v>
      </c>
      <c r="L99" s="199"/>
      <c r="M99" s="211">
        <f t="shared" si="4"/>
        <v>109.16000000000349</v>
      </c>
      <c r="O99" s="302"/>
    </row>
    <row r="100" spans="1:21" hidden="1" x14ac:dyDescent="0.2">
      <c r="A100" s="204" t="s">
        <v>20</v>
      </c>
      <c r="B100" s="205" t="s">
        <v>176</v>
      </c>
      <c r="C100" s="206">
        <v>42898</v>
      </c>
      <c r="D100" s="174" t="s">
        <v>16</v>
      </c>
      <c r="E100" s="207">
        <v>295149.58</v>
      </c>
      <c r="F100" s="208">
        <f>+E100*2.74135</f>
        <v>809108.30113300006</v>
      </c>
      <c r="G100" s="209">
        <f t="shared" si="5"/>
        <v>42958</v>
      </c>
      <c r="H100" s="173"/>
      <c r="I100" s="174"/>
      <c r="J100" s="175"/>
      <c r="K100" s="210">
        <f>70000-34200+86000+111000+62300</f>
        <v>295100</v>
      </c>
      <c r="L100" s="199"/>
      <c r="M100" s="211">
        <f t="shared" si="4"/>
        <v>49.580000000016298</v>
      </c>
      <c r="O100" s="302"/>
    </row>
    <row r="101" spans="1:21" x14ac:dyDescent="0.2">
      <c r="A101" s="233" t="s">
        <v>15</v>
      </c>
      <c r="B101" s="200" t="s">
        <v>177</v>
      </c>
      <c r="C101" s="234">
        <v>42906</v>
      </c>
      <c r="D101" s="235" t="s">
        <v>16</v>
      </c>
      <c r="E101" s="236">
        <v>52992.7</v>
      </c>
      <c r="F101" s="201">
        <f>+E101*2.7377</f>
        <v>145078.11478999999</v>
      </c>
      <c r="G101" s="590">
        <f t="shared" si="5"/>
        <v>42966</v>
      </c>
      <c r="H101" s="238"/>
      <c r="I101" s="235"/>
      <c r="J101" s="237"/>
      <c r="K101" s="239"/>
      <c r="L101" s="240"/>
      <c r="M101" s="241">
        <f t="shared" si="4"/>
        <v>52992.7</v>
      </c>
      <c r="O101" s="302"/>
    </row>
    <row r="102" spans="1:21" hidden="1" x14ac:dyDescent="0.2">
      <c r="A102" s="204" t="s">
        <v>20</v>
      </c>
      <c r="B102" s="205" t="s">
        <v>187</v>
      </c>
      <c r="C102" s="206">
        <v>42933</v>
      </c>
      <c r="D102" s="174" t="s">
        <v>16</v>
      </c>
      <c r="E102" s="207">
        <v>286403.78999999998</v>
      </c>
      <c r="F102" s="208">
        <f>+E102*2.7746</f>
        <v>794655.95573399996</v>
      </c>
      <c r="G102" s="209">
        <f t="shared" si="5"/>
        <v>42993</v>
      </c>
      <c r="H102" s="173"/>
      <c r="I102" s="174"/>
      <c r="J102" s="175"/>
      <c r="K102" s="210">
        <f>180000+47200+7500+51650</f>
        <v>286350</v>
      </c>
      <c r="L102" s="199"/>
      <c r="M102" s="211">
        <f t="shared" si="4"/>
        <v>53.789999999979045</v>
      </c>
      <c r="O102" s="302"/>
    </row>
    <row r="103" spans="1:21" hidden="1" x14ac:dyDescent="0.2">
      <c r="A103" s="204" t="s">
        <v>20</v>
      </c>
      <c r="B103" s="205" t="s">
        <v>193</v>
      </c>
      <c r="C103" s="206">
        <v>42963</v>
      </c>
      <c r="D103" s="174" t="s">
        <v>16</v>
      </c>
      <c r="E103" s="207">
        <v>94511.3</v>
      </c>
      <c r="F103" s="208">
        <f>+E103*2.80685</f>
        <v>265279.04240500001</v>
      </c>
      <c r="G103" s="209">
        <f t="shared" si="5"/>
        <v>43023</v>
      </c>
      <c r="H103" s="173"/>
      <c r="I103" s="174"/>
      <c r="J103" s="175"/>
      <c r="K103" s="210">
        <f>125000-51650+21100</f>
        <v>94450</v>
      </c>
      <c r="L103" s="199"/>
      <c r="M103" s="211">
        <f t="shared" si="4"/>
        <v>61.30000000000291</v>
      </c>
      <c r="O103" s="302"/>
    </row>
    <row r="104" spans="1:21" hidden="1" x14ac:dyDescent="0.2">
      <c r="A104" s="204" t="s">
        <v>20</v>
      </c>
      <c r="B104" s="205" t="s">
        <v>195</v>
      </c>
      <c r="C104" s="206">
        <v>42975</v>
      </c>
      <c r="D104" s="174" t="s">
        <v>16</v>
      </c>
      <c r="E104" s="207">
        <v>278132.68</v>
      </c>
      <c r="F104" s="208">
        <f>+E104*2.88515</f>
        <v>802454.50170199992</v>
      </c>
      <c r="G104" s="209">
        <f t="shared" si="5"/>
        <v>43035</v>
      </c>
      <c r="H104" s="173"/>
      <c r="I104" s="174"/>
      <c r="J104" s="175"/>
      <c r="K104" s="210">
        <f>100000-21100+102000+97200</f>
        <v>278100</v>
      </c>
      <c r="L104" s="199"/>
      <c r="M104" s="211">
        <f t="shared" si="4"/>
        <v>32.679999999993015</v>
      </c>
      <c r="O104" s="302"/>
    </row>
    <row r="105" spans="1:21" hidden="1" x14ac:dyDescent="0.2">
      <c r="A105" s="204" t="s">
        <v>20</v>
      </c>
      <c r="B105" s="205" t="s">
        <v>200</v>
      </c>
      <c r="C105" s="206">
        <v>43010</v>
      </c>
      <c r="D105" s="174" t="s">
        <v>16</v>
      </c>
      <c r="E105" s="207">
        <v>94696.34</v>
      </c>
      <c r="F105" s="208">
        <f>+E105*2.8948</f>
        <v>274126.96503199998</v>
      </c>
      <c r="G105" s="209">
        <f t="shared" si="5"/>
        <v>43070</v>
      </c>
      <c r="H105" s="173"/>
      <c r="I105" s="174"/>
      <c r="J105" s="175"/>
      <c r="K105" s="210">
        <v>94650</v>
      </c>
      <c r="L105" s="199"/>
      <c r="M105" s="211">
        <f t="shared" si="4"/>
        <v>46.339999999996508</v>
      </c>
      <c r="O105" s="302"/>
    </row>
    <row r="106" spans="1:21" hidden="1" x14ac:dyDescent="0.2">
      <c r="A106" s="204" t="s">
        <v>20</v>
      </c>
      <c r="B106" s="205" t="s">
        <v>202</v>
      </c>
      <c r="C106" s="206">
        <v>43019</v>
      </c>
      <c r="D106" s="174" t="s">
        <v>16</v>
      </c>
      <c r="E106" s="207">
        <v>87025.13</v>
      </c>
      <c r="F106" s="208">
        <f>+E106*2.902</f>
        <v>252546.92726000003</v>
      </c>
      <c r="G106" s="209">
        <f t="shared" si="5"/>
        <v>43079</v>
      </c>
      <c r="H106" s="173"/>
      <c r="I106" s="174"/>
      <c r="J106" s="175"/>
      <c r="K106" s="210">
        <f>8150+78800</f>
        <v>86950</v>
      </c>
      <c r="L106" s="199"/>
      <c r="M106" s="211">
        <f t="shared" si="4"/>
        <v>75.130000000004657</v>
      </c>
      <c r="O106" s="302"/>
    </row>
    <row r="107" spans="1:21" hidden="1" x14ac:dyDescent="0.2">
      <c r="A107" s="204" t="s">
        <v>20</v>
      </c>
      <c r="B107" s="205" t="s">
        <v>204</v>
      </c>
      <c r="C107" s="206">
        <v>43026</v>
      </c>
      <c r="D107" s="174" t="s">
        <v>16</v>
      </c>
      <c r="E107" s="207">
        <v>98676.9</v>
      </c>
      <c r="F107" s="208">
        <f>+E107*2.89915</f>
        <v>286079.13463499997</v>
      </c>
      <c r="G107" s="209">
        <f t="shared" si="5"/>
        <v>43086</v>
      </c>
      <c r="H107" s="173"/>
      <c r="I107" s="174"/>
      <c r="J107" s="175"/>
      <c r="K107" s="210">
        <v>98600</v>
      </c>
      <c r="L107" s="199"/>
      <c r="M107" s="211">
        <f t="shared" si="4"/>
        <v>76.899999999994179</v>
      </c>
      <c r="O107" s="302"/>
    </row>
    <row r="108" spans="1:21" hidden="1" x14ac:dyDescent="0.2">
      <c r="A108" s="204" t="s">
        <v>20</v>
      </c>
      <c r="B108" s="205" t="s">
        <v>205</v>
      </c>
      <c r="C108" s="206">
        <v>43031</v>
      </c>
      <c r="D108" s="174" t="s">
        <v>16</v>
      </c>
      <c r="E108" s="207">
        <v>90761.4</v>
      </c>
      <c r="F108" s="208">
        <f>+E108*2.9083</f>
        <v>263961.37962000002</v>
      </c>
      <c r="G108" s="209">
        <f t="shared" si="5"/>
        <v>43091</v>
      </c>
      <c r="H108" s="173"/>
      <c r="I108" s="174"/>
      <c r="J108" s="175"/>
      <c r="K108" s="210">
        <f>22600+60000+8100</f>
        <v>90700</v>
      </c>
      <c r="L108" s="199"/>
      <c r="M108" s="211">
        <f t="shared" si="4"/>
        <v>61.399999999994179</v>
      </c>
      <c r="O108" s="302"/>
    </row>
    <row r="109" spans="1:21" hidden="1" x14ac:dyDescent="0.2">
      <c r="A109" s="204" t="s">
        <v>20</v>
      </c>
      <c r="B109" s="205" t="s">
        <v>208</v>
      </c>
      <c r="C109" s="206">
        <v>43035</v>
      </c>
      <c r="D109" s="174" t="s">
        <v>16</v>
      </c>
      <c r="E109" s="207">
        <v>101159.6</v>
      </c>
      <c r="F109" s="208">
        <f>+E109*2.9096</f>
        <v>294333.97216000006</v>
      </c>
      <c r="G109" s="209">
        <f t="shared" si="5"/>
        <v>43095</v>
      </c>
      <c r="H109" s="173"/>
      <c r="I109" s="174"/>
      <c r="J109" s="175"/>
      <c r="K109" s="210">
        <f>62000-8100+47200</f>
        <v>101100</v>
      </c>
      <c r="L109" s="199"/>
      <c r="M109" s="211">
        <f t="shared" si="4"/>
        <v>59.600000000005821</v>
      </c>
      <c r="O109" s="302"/>
    </row>
    <row r="110" spans="1:21" hidden="1" x14ac:dyDescent="0.2">
      <c r="A110" s="204" t="s">
        <v>20</v>
      </c>
      <c r="B110" s="205" t="s">
        <v>209</v>
      </c>
      <c r="C110" s="206">
        <v>43041</v>
      </c>
      <c r="D110" s="174" t="s">
        <v>16</v>
      </c>
      <c r="E110" s="207">
        <v>101167.8</v>
      </c>
      <c r="F110" s="208">
        <f>+E110*2.8951</f>
        <v>292890.89778</v>
      </c>
      <c r="G110" s="209">
        <f t="shared" si="5"/>
        <v>43101</v>
      </c>
      <c r="H110" s="173"/>
      <c r="I110" s="174"/>
      <c r="J110" s="175"/>
      <c r="K110" s="210">
        <f>70000-47200+78350</f>
        <v>101150</v>
      </c>
      <c r="L110" s="199"/>
      <c r="M110" s="211">
        <f t="shared" si="4"/>
        <v>17.80000000000291</v>
      </c>
      <c r="O110" s="302"/>
      <c r="P110" s="187"/>
    </row>
    <row r="111" spans="1:21" hidden="1" x14ac:dyDescent="0.2">
      <c r="A111" s="204" t="s">
        <v>20</v>
      </c>
      <c r="B111" s="205" t="s">
        <v>210</v>
      </c>
      <c r="C111" s="206">
        <v>43048</v>
      </c>
      <c r="D111" s="174" t="s">
        <v>16</v>
      </c>
      <c r="E111" s="207">
        <v>96608.7</v>
      </c>
      <c r="F111" s="208">
        <f>+E111*2.8966</f>
        <v>279836.76041999995</v>
      </c>
      <c r="G111" s="209">
        <f t="shared" si="5"/>
        <v>43108</v>
      </c>
      <c r="H111" s="173"/>
      <c r="I111" s="174"/>
      <c r="J111" s="175"/>
      <c r="K111" s="210">
        <v>96550.7</v>
      </c>
      <c r="L111" s="199"/>
      <c r="M111" s="211">
        <f t="shared" si="4"/>
        <v>58</v>
      </c>
      <c r="O111" s="302"/>
      <c r="P111" s="187"/>
      <c r="S111" s="635"/>
      <c r="T111" s="635"/>
      <c r="U111" s="635"/>
    </row>
    <row r="112" spans="1:21" hidden="1" x14ac:dyDescent="0.2">
      <c r="A112" s="204" t="s">
        <v>20</v>
      </c>
      <c r="B112" s="205" t="s">
        <v>212</v>
      </c>
      <c r="C112" s="206">
        <v>43055</v>
      </c>
      <c r="D112" s="174" t="s">
        <v>16</v>
      </c>
      <c r="E112" s="207">
        <v>97238.05</v>
      </c>
      <c r="F112" s="208">
        <f>+E112*2.9226</f>
        <v>284187.92493000004</v>
      </c>
      <c r="G112" s="209">
        <f t="shared" si="5"/>
        <v>43115</v>
      </c>
      <c r="H112" s="173"/>
      <c r="I112" s="174"/>
      <c r="J112" s="175"/>
      <c r="K112" s="210">
        <f>35099.3+62100</f>
        <v>97199.3</v>
      </c>
      <c r="L112" s="199"/>
      <c r="M112" s="211">
        <f t="shared" si="4"/>
        <v>38.75</v>
      </c>
      <c r="O112" s="302"/>
      <c r="P112" s="187"/>
      <c r="S112" s="187"/>
      <c r="T112" s="187"/>
      <c r="U112" s="187"/>
    </row>
    <row r="113" spans="1:22" hidden="1" x14ac:dyDescent="0.2">
      <c r="A113" s="204" t="s">
        <v>20</v>
      </c>
      <c r="B113" s="205" t="s">
        <v>214</v>
      </c>
      <c r="C113" s="206">
        <v>43060</v>
      </c>
      <c r="D113" s="174" t="s">
        <v>16</v>
      </c>
      <c r="E113" s="207">
        <v>98581.08</v>
      </c>
      <c r="F113" s="208">
        <f>+E113*2.9136</f>
        <v>287225.83468800003</v>
      </c>
      <c r="G113" s="209">
        <f t="shared" si="5"/>
        <v>43120</v>
      </c>
      <c r="H113" s="173"/>
      <c r="I113" s="174"/>
      <c r="J113" s="175"/>
      <c r="K113" s="210">
        <f>120000-62100+40600</f>
        <v>98500</v>
      </c>
      <c r="L113" s="199"/>
      <c r="M113" s="211">
        <f t="shared" si="4"/>
        <v>81.080000000001746</v>
      </c>
      <c r="O113" s="302"/>
      <c r="P113" s="187"/>
      <c r="S113" s="187"/>
      <c r="T113" s="187"/>
      <c r="U113" s="187"/>
    </row>
    <row r="114" spans="1:22" hidden="1" x14ac:dyDescent="0.2">
      <c r="A114" s="204" t="s">
        <v>20</v>
      </c>
      <c r="B114" s="205" t="s">
        <v>215</v>
      </c>
      <c r="C114" s="206">
        <v>43062</v>
      </c>
      <c r="D114" s="174" t="s">
        <v>16</v>
      </c>
      <c r="E114" s="207">
        <v>98946.8</v>
      </c>
      <c r="F114" s="208">
        <f>+E114*2.9144</f>
        <v>288370.55392000003</v>
      </c>
      <c r="G114" s="209">
        <f t="shared" si="5"/>
        <v>43122</v>
      </c>
      <c r="H114" s="173"/>
      <c r="I114" s="174"/>
      <c r="J114" s="175"/>
      <c r="K114" s="210">
        <v>98900</v>
      </c>
      <c r="L114" s="199"/>
      <c r="M114" s="211">
        <f t="shared" si="4"/>
        <v>46.80000000000291</v>
      </c>
      <c r="O114" s="302"/>
      <c r="S114" s="187"/>
      <c r="T114" s="187"/>
      <c r="U114" s="187"/>
    </row>
    <row r="115" spans="1:22" hidden="1" x14ac:dyDescent="0.2">
      <c r="A115" s="204" t="s">
        <v>20</v>
      </c>
      <c r="B115" s="205" t="s">
        <v>218</v>
      </c>
      <c r="C115" s="206">
        <v>43075</v>
      </c>
      <c r="D115" s="174" t="s">
        <v>16</v>
      </c>
      <c r="E115" s="207">
        <v>185065.83</v>
      </c>
      <c r="F115" s="208">
        <f>+E115*2.9164</f>
        <v>539725.98661199992</v>
      </c>
      <c r="G115" s="209">
        <f t="shared" si="5"/>
        <v>43135</v>
      </c>
      <c r="H115" s="173"/>
      <c r="I115" s="174"/>
      <c r="J115" s="175"/>
      <c r="K115" s="210">
        <f>11500+46500+90000+37000</f>
        <v>185000</v>
      </c>
      <c r="L115" s="199"/>
      <c r="M115" s="211">
        <f t="shared" si="4"/>
        <v>65.829999999987194</v>
      </c>
      <c r="O115" s="302"/>
      <c r="S115" s="187"/>
      <c r="U115" s="187"/>
      <c r="V115" s="187"/>
    </row>
    <row r="116" spans="1:22" x14ac:dyDescent="0.2">
      <c r="A116" s="233" t="s">
        <v>15</v>
      </c>
      <c r="B116" s="200" t="s">
        <v>219</v>
      </c>
      <c r="C116" s="234">
        <v>43075</v>
      </c>
      <c r="D116" s="235" t="s">
        <v>16</v>
      </c>
      <c r="E116" s="236">
        <v>14634.52</v>
      </c>
      <c r="F116" s="201">
        <f>+E116*2.9164</f>
        <v>42680.114128000001</v>
      </c>
      <c r="G116" s="590">
        <f t="shared" si="5"/>
        <v>43135</v>
      </c>
      <c r="H116" s="238"/>
      <c r="I116" s="235"/>
      <c r="J116" s="237"/>
      <c r="K116" s="239"/>
      <c r="L116" s="240"/>
      <c r="M116" s="241">
        <f t="shared" si="4"/>
        <v>14634.52</v>
      </c>
      <c r="O116" s="302"/>
      <c r="P116" s="180"/>
    </row>
    <row r="117" spans="1:22" hidden="1" x14ac:dyDescent="0.2">
      <c r="A117" s="204" t="s">
        <v>20</v>
      </c>
      <c r="B117" s="205" t="s">
        <v>222</v>
      </c>
      <c r="C117" s="206">
        <v>43082</v>
      </c>
      <c r="D117" s="174" t="s">
        <v>16</v>
      </c>
      <c r="E117" s="207">
        <v>168283.6</v>
      </c>
      <c r="F117" s="208">
        <f>+E117*2.9163</f>
        <v>490765.46268000006</v>
      </c>
      <c r="G117" s="209">
        <f t="shared" si="5"/>
        <v>43142</v>
      </c>
      <c r="H117" s="173"/>
      <c r="I117" s="174"/>
      <c r="J117" s="175"/>
      <c r="K117" s="210">
        <f>128000-37000+54980+22200</f>
        <v>168180</v>
      </c>
      <c r="L117" s="199"/>
      <c r="M117" s="211">
        <f t="shared" si="4"/>
        <v>103.60000000000582</v>
      </c>
      <c r="O117" s="302"/>
      <c r="P117" s="180"/>
    </row>
    <row r="118" spans="1:22" hidden="1" x14ac:dyDescent="0.2">
      <c r="A118" s="204" t="s">
        <v>20</v>
      </c>
      <c r="B118" s="205" t="s">
        <v>223</v>
      </c>
      <c r="C118" s="206">
        <v>43083</v>
      </c>
      <c r="D118" s="174" t="s">
        <v>16</v>
      </c>
      <c r="E118" s="207">
        <v>88099.11</v>
      </c>
      <c r="F118" s="208">
        <f>+E118*2.9163</f>
        <v>256923.43449300001</v>
      </c>
      <c r="G118" s="209">
        <f t="shared" si="5"/>
        <v>43143</v>
      </c>
      <c r="H118" s="173"/>
      <c r="I118" s="174"/>
      <c r="J118" s="175"/>
      <c r="K118" s="210">
        <f>49985-22200+50000+10300</f>
        <v>88085</v>
      </c>
      <c r="L118" s="199"/>
      <c r="M118" s="211">
        <f t="shared" si="4"/>
        <v>14.110000000000582</v>
      </c>
      <c r="O118" s="302"/>
    </row>
    <row r="119" spans="1:22" hidden="1" x14ac:dyDescent="0.2">
      <c r="A119" s="204" t="s">
        <v>20</v>
      </c>
      <c r="B119" s="205" t="s">
        <v>226</v>
      </c>
      <c r="C119" s="206">
        <v>43091</v>
      </c>
      <c r="D119" s="174" t="s">
        <v>16</v>
      </c>
      <c r="E119" s="207">
        <v>97608.05</v>
      </c>
      <c r="F119" s="208">
        <f>+E119*2.92675</f>
        <v>285674.36033750005</v>
      </c>
      <c r="G119" s="209">
        <f t="shared" si="5"/>
        <v>43151</v>
      </c>
      <c r="H119" s="173"/>
      <c r="I119" s="174"/>
      <c r="J119" s="175"/>
      <c r="K119" s="210">
        <v>97600</v>
      </c>
      <c r="L119" s="199"/>
      <c r="M119" s="211">
        <f t="shared" si="4"/>
        <v>8.0500000000029104</v>
      </c>
      <c r="O119" s="302"/>
    </row>
    <row r="120" spans="1:22" hidden="1" x14ac:dyDescent="0.2">
      <c r="A120" s="204" t="s">
        <v>20</v>
      </c>
      <c r="B120" s="205" t="s">
        <v>228</v>
      </c>
      <c r="C120" s="206">
        <v>43104</v>
      </c>
      <c r="D120" s="174" t="s">
        <v>16</v>
      </c>
      <c r="E120" s="207">
        <v>102081.42</v>
      </c>
      <c r="F120" s="208">
        <f>+E120*2.94</f>
        <v>300119.37479999999</v>
      </c>
      <c r="G120" s="209">
        <f t="shared" si="5"/>
        <v>43164</v>
      </c>
      <c r="H120" s="173"/>
      <c r="I120" s="174"/>
      <c r="J120" s="175"/>
      <c r="K120" s="210">
        <f>11600+80500+9900</f>
        <v>102000</v>
      </c>
      <c r="L120" s="199"/>
      <c r="M120" s="211">
        <f t="shared" si="4"/>
        <v>81.419999999998254</v>
      </c>
      <c r="O120" s="302"/>
    </row>
    <row r="121" spans="1:22" hidden="1" x14ac:dyDescent="0.2">
      <c r="A121" s="204" t="s">
        <v>20</v>
      </c>
      <c r="B121" s="205" t="s">
        <v>229</v>
      </c>
      <c r="C121" s="206">
        <v>43109</v>
      </c>
      <c r="D121" s="174" t="s">
        <v>16</v>
      </c>
      <c r="E121" s="207">
        <v>93737.67</v>
      </c>
      <c r="F121" s="208">
        <f>+E121*2.9394</f>
        <v>275532.50719799998</v>
      </c>
      <c r="G121" s="209">
        <f t="shared" si="5"/>
        <v>43169</v>
      </c>
      <c r="H121" s="173"/>
      <c r="I121" s="174"/>
      <c r="J121" s="175"/>
      <c r="K121" s="210">
        <f>41000-9900+62600</f>
        <v>93700</v>
      </c>
      <c r="L121" s="199"/>
      <c r="M121" s="211">
        <f t="shared" si="4"/>
        <v>37.669999999998254</v>
      </c>
      <c r="O121" s="302"/>
      <c r="P121" s="180"/>
    </row>
    <row r="122" spans="1:22" x14ac:dyDescent="0.2">
      <c r="A122" s="233" t="s">
        <v>231</v>
      </c>
      <c r="B122" s="200" t="s">
        <v>233</v>
      </c>
      <c r="C122" s="234">
        <v>43147</v>
      </c>
      <c r="D122" s="235" t="s">
        <v>16</v>
      </c>
      <c r="E122" s="236">
        <v>73120.639999999999</v>
      </c>
      <c r="F122" s="201">
        <f>+E122*2.9473</f>
        <v>215508.46227199998</v>
      </c>
      <c r="G122" s="590">
        <f t="shared" si="5"/>
        <v>43207</v>
      </c>
      <c r="H122" s="238"/>
      <c r="I122" s="235"/>
      <c r="J122" s="237"/>
      <c r="K122" s="239">
        <f>40000+30000</f>
        <v>70000</v>
      </c>
      <c r="L122" s="240"/>
      <c r="M122" s="241">
        <f t="shared" si="4"/>
        <v>3120.6399999999994</v>
      </c>
      <c r="O122" s="302"/>
    </row>
    <row r="123" spans="1:22" hidden="1" x14ac:dyDescent="0.2">
      <c r="A123" s="204" t="s">
        <v>20</v>
      </c>
      <c r="B123" s="205" t="s">
        <v>237</v>
      </c>
      <c r="C123" s="206">
        <v>43165</v>
      </c>
      <c r="D123" s="174" t="s">
        <v>9</v>
      </c>
      <c r="E123" s="207"/>
      <c r="F123" s="208">
        <v>501228</v>
      </c>
      <c r="G123" s="209">
        <f t="shared" si="5"/>
        <v>43225</v>
      </c>
      <c r="H123" s="173"/>
      <c r="I123" s="174"/>
      <c r="J123" s="175"/>
      <c r="K123" s="210">
        <v>493175.53399999999</v>
      </c>
      <c r="L123" s="199"/>
      <c r="M123" s="211">
        <f>F123-K123</f>
        <v>8052.4660000000149</v>
      </c>
      <c r="O123" s="302"/>
    </row>
    <row r="124" spans="1:22" hidden="1" x14ac:dyDescent="0.2">
      <c r="A124" s="204" t="s">
        <v>235</v>
      </c>
      <c r="B124" s="205" t="s">
        <v>236</v>
      </c>
      <c r="C124" s="206">
        <v>43174</v>
      </c>
      <c r="D124" s="174" t="s">
        <v>16</v>
      </c>
      <c r="E124" s="207">
        <v>74078.350000000006</v>
      </c>
      <c r="F124" s="208">
        <f>+E124*2.9419</f>
        <v>217931.09786500002</v>
      </c>
      <c r="G124" s="209">
        <f t="shared" si="5"/>
        <v>43234</v>
      </c>
      <c r="H124" s="173"/>
      <c r="I124" s="174"/>
      <c r="J124" s="175"/>
      <c r="K124" s="210">
        <f>5*12500+11578.35</f>
        <v>74078.350000000006</v>
      </c>
      <c r="L124" s="199"/>
      <c r="M124" s="211">
        <f t="shared" si="4"/>
        <v>0</v>
      </c>
      <c r="O124" s="302"/>
    </row>
    <row r="125" spans="1:22" hidden="1" x14ac:dyDescent="0.2">
      <c r="A125" s="204" t="s">
        <v>20</v>
      </c>
      <c r="B125" s="205" t="s">
        <v>242</v>
      </c>
      <c r="C125" s="206">
        <v>43206</v>
      </c>
      <c r="D125" s="174" t="s">
        <v>16</v>
      </c>
      <c r="E125" s="207">
        <v>85002.64</v>
      </c>
      <c r="F125" s="208">
        <f>+E125*2.9521</f>
        <v>250936.29354400001</v>
      </c>
      <c r="G125" s="209">
        <f t="shared" si="5"/>
        <v>43266</v>
      </c>
      <c r="H125" s="173"/>
      <c r="I125" s="174"/>
      <c r="J125" s="175"/>
      <c r="K125" s="210">
        <f>37400+47550</f>
        <v>84950</v>
      </c>
      <c r="L125" s="199"/>
      <c r="M125" s="211">
        <f t="shared" si="4"/>
        <v>52.639999999999418</v>
      </c>
      <c r="O125" s="302"/>
    </row>
    <row r="126" spans="1:22" hidden="1" x14ac:dyDescent="0.2">
      <c r="A126" s="204" t="s">
        <v>235</v>
      </c>
      <c r="B126" s="205" t="s">
        <v>250</v>
      </c>
      <c r="C126" s="206">
        <v>43209</v>
      </c>
      <c r="D126" s="174" t="s">
        <v>16</v>
      </c>
      <c r="E126" s="207">
        <v>9990.2800000000007</v>
      </c>
      <c r="F126" s="208">
        <f>+E126*2.9558</f>
        <v>29529.269624</v>
      </c>
      <c r="G126" s="209">
        <f t="shared" si="5"/>
        <v>43269</v>
      </c>
      <c r="H126" s="173"/>
      <c r="I126" s="174"/>
      <c r="J126" s="175"/>
      <c r="K126" s="210">
        <v>9990.2800000000007</v>
      </c>
      <c r="L126" s="199"/>
      <c r="M126" s="211">
        <f t="shared" si="4"/>
        <v>0</v>
      </c>
      <c r="O126" s="302"/>
    </row>
    <row r="127" spans="1:22" hidden="1" x14ac:dyDescent="0.2">
      <c r="A127" s="204" t="s">
        <v>235</v>
      </c>
      <c r="B127" s="205" t="s">
        <v>241</v>
      </c>
      <c r="C127" s="206">
        <v>43213</v>
      </c>
      <c r="D127" s="174" t="s">
        <v>16</v>
      </c>
      <c r="E127" s="207">
        <v>70110.52</v>
      </c>
      <c r="F127" s="208">
        <f>+E127*2.95395</f>
        <v>207102.970554</v>
      </c>
      <c r="G127" s="209">
        <f t="shared" si="5"/>
        <v>43273</v>
      </c>
      <c r="H127" s="173"/>
      <c r="I127" s="174"/>
      <c r="J127" s="175"/>
      <c r="K127" s="210">
        <f>12500+12500+12500+12500+12500+7610.52</f>
        <v>70110.52</v>
      </c>
      <c r="L127" s="199"/>
      <c r="M127" s="211">
        <f t="shared" si="4"/>
        <v>0</v>
      </c>
      <c r="O127" s="302"/>
    </row>
    <row r="128" spans="1:22" hidden="1" x14ac:dyDescent="0.2">
      <c r="A128" s="204" t="s">
        <v>20</v>
      </c>
      <c r="B128" s="205" t="s">
        <v>253</v>
      </c>
      <c r="C128" s="206">
        <v>43236</v>
      </c>
      <c r="D128" s="174" t="s">
        <v>16</v>
      </c>
      <c r="E128" s="207">
        <v>92220.66</v>
      </c>
      <c r="F128" s="208">
        <f>E128*2.97195</f>
        <v>274075.19048700004</v>
      </c>
      <c r="G128" s="209">
        <f t="shared" si="5"/>
        <v>43296</v>
      </c>
      <c r="H128" s="173"/>
      <c r="I128" s="174"/>
      <c r="J128" s="175"/>
      <c r="K128" s="210">
        <f>100000-47550+39770.66</f>
        <v>92220.66</v>
      </c>
      <c r="L128" s="199"/>
      <c r="M128" s="211">
        <f t="shared" si="4"/>
        <v>0</v>
      </c>
      <c r="O128" s="302"/>
    </row>
    <row r="129" spans="1:16" hidden="1" x14ac:dyDescent="0.2">
      <c r="A129" s="204" t="s">
        <v>235</v>
      </c>
      <c r="B129" s="205" t="s">
        <v>252</v>
      </c>
      <c r="C129" s="206">
        <v>43235</v>
      </c>
      <c r="D129" s="174" t="s">
        <v>16</v>
      </c>
      <c r="E129" s="207">
        <v>59539.5</v>
      </c>
      <c r="F129" s="208">
        <f>+E129*2.97945</f>
        <v>177394.96327499999</v>
      </c>
      <c r="G129" s="209">
        <f t="shared" si="5"/>
        <v>43295</v>
      </c>
      <c r="H129" s="173"/>
      <c r="I129" s="174"/>
      <c r="J129" s="175"/>
      <c r="K129" s="210">
        <f>12500+12500+12500+12500+9539.5</f>
        <v>59539.5</v>
      </c>
      <c r="L129" s="199"/>
      <c r="M129" s="211">
        <f t="shared" si="4"/>
        <v>0</v>
      </c>
      <c r="O129" s="302"/>
    </row>
    <row r="130" spans="1:16" hidden="1" x14ac:dyDescent="0.2">
      <c r="A130" s="204" t="s">
        <v>235</v>
      </c>
      <c r="B130" s="205" t="s">
        <v>254</v>
      </c>
      <c r="C130" s="206">
        <v>43243</v>
      </c>
      <c r="D130" s="174" t="s">
        <v>16</v>
      </c>
      <c r="E130" s="207">
        <v>64244.86</v>
      </c>
      <c r="F130" s="208">
        <f>+E130*2.97525</f>
        <v>191144.519715</v>
      </c>
      <c r="G130" s="209">
        <f t="shared" si="5"/>
        <v>43303</v>
      </c>
      <c r="H130" s="173"/>
      <c r="I130" s="174"/>
      <c r="J130" s="175"/>
      <c r="K130" s="210">
        <f>12500+12500+12500+12500+12500+1744.86</f>
        <v>64244.86</v>
      </c>
      <c r="L130" s="199"/>
      <c r="M130" s="211">
        <f t="shared" si="4"/>
        <v>0</v>
      </c>
      <c r="O130" s="302"/>
    </row>
    <row r="131" spans="1:16" hidden="1" x14ac:dyDescent="0.2">
      <c r="A131" s="204" t="s">
        <v>20</v>
      </c>
      <c r="B131" s="205" t="s">
        <v>259</v>
      </c>
      <c r="C131" s="206">
        <v>43251</v>
      </c>
      <c r="D131" s="174" t="s">
        <v>16</v>
      </c>
      <c r="E131" s="207">
        <v>96319.08</v>
      </c>
      <c r="F131" s="208">
        <f>+E131*2.99085</f>
        <v>288075.92041800002</v>
      </c>
      <c r="G131" s="209">
        <f t="shared" si="5"/>
        <v>43311</v>
      </c>
      <c r="H131" s="173"/>
      <c r="I131" s="174"/>
      <c r="J131" s="175"/>
      <c r="K131" s="210">
        <f>50000-39770.66+50000+36089.74</f>
        <v>96319.079999999987</v>
      </c>
      <c r="L131" s="199"/>
      <c r="M131" s="211">
        <f t="shared" si="4"/>
        <v>0</v>
      </c>
      <c r="O131" s="302"/>
    </row>
    <row r="132" spans="1:16" hidden="1" x14ac:dyDescent="0.2">
      <c r="A132" s="204" t="s">
        <v>235</v>
      </c>
      <c r="B132" s="205" t="s">
        <v>261</v>
      </c>
      <c r="C132" s="206">
        <v>43262</v>
      </c>
      <c r="D132" s="174" t="s">
        <v>16</v>
      </c>
      <c r="E132" s="207">
        <v>62886.3</v>
      </c>
      <c r="F132" s="208">
        <f>+E132*3.01205</f>
        <v>189416.67991500002</v>
      </c>
      <c r="G132" s="209">
        <f t="shared" si="5"/>
        <v>43322</v>
      </c>
      <c r="H132" s="173"/>
      <c r="I132" s="174"/>
      <c r="J132" s="175"/>
      <c r="K132" s="210">
        <f>10000+11886.3+12500+12500+12500+3500</f>
        <v>62886.3</v>
      </c>
      <c r="L132" s="199"/>
      <c r="M132" s="211">
        <f t="shared" si="4"/>
        <v>0</v>
      </c>
      <c r="O132" s="302"/>
    </row>
    <row r="133" spans="1:16" hidden="1" x14ac:dyDescent="0.2">
      <c r="A133" s="204" t="s">
        <v>20</v>
      </c>
      <c r="B133" s="205" t="s">
        <v>260</v>
      </c>
      <c r="C133" s="206">
        <v>43262</v>
      </c>
      <c r="D133" s="174" t="s">
        <v>16</v>
      </c>
      <c r="E133" s="207">
        <v>89476.73</v>
      </c>
      <c r="F133" s="208">
        <f>+E133*3.0199</f>
        <v>270210.77692699997</v>
      </c>
      <c r="G133" s="209">
        <f t="shared" si="5"/>
        <v>43322</v>
      </c>
      <c r="H133" s="173"/>
      <c r="I133" s="174"/>
      <c r="J133" s="175"/>
      <c r="K133" s="210">
        <f>63910.26+25500</f>
        <v>89410.260000000009</v>
      </c>
      <c r="L133" s="199"/>
      <c r="M133" s="211">
        <f t="shared" si="4"/>
        <v>66.469999999986612</v>
      </c>
      <c r="O133" s="302"/>
      <c r="P133" s="180"/>
    </row>
    <row r="134" spans="1:16" hidden="1" x14ac:dyDescent="0.2">
      <c r="A134" s="204" t="s">
        <v>20</v>
      </c>
      <c r="B134" s="205" t="s">
        <v>263</v>
      </c>
      <c r="C134" s="206">
        <v>43291</v>
      </c>
      <c r="D134" s="174" t="s">
        <v>16</v>
      </c>
      <c r="E134" s="207">
        <v>92676.52</v>
      </c>
      <c r="F134" s="208">
        <f>+E134*3.0721</f>
        <v>284711.53709200001</v>
      </c>
      <c r="G134" s="209">
        <f t="shared" si="5"/>
        <v>43351</v>
      </c>
      <c r="H134" s="173"/>
      <c r="I134" s="174"/>
      <c r="J134" s="175"/>
      <c r="K134" s="210">
        <f>14500+40000+38000</f>
        <v>92500</v>
      </c>
      <c r="L134" s="199"/>
      <c r="M134" s="211">
        <f t="shared" si="4"/>
        <v>176.52000000000407</v>
      </c>
      <c r="O134" s="302"/>
    </row>
    <row r="135" spans="1:16" hidden="1" x14ac:dyDescent="0.2">
      <c r="A135" s="204" t="s">
        <v>235</v>
      </c>
      <c r="B135" s="205" t="s">
        <v>264</v>
      </c>
      <c r="C135" s="206">
        <v>43291</v>
      </c>
      <c r="D135" s="174" t="s">
        <v>16</v>
      </c>
      <c r="E135" s="207">
        <v>70446.11</v>
      </c>
      <c r="F135" s="208">
        <f>+E135*3.0721</f>
        <v>216417.494531</v>
      </c>
      <c r="G135" s="209">
        <f t="shared" si="5"/>
        <v>43351</v>
      </c>
      <c r="H135" s="173"/>
      <c r="I135" s="174"/>
      <c r="J135" s="175"/>
      <c r="K135" s="210">
        <f>37500+12500+12500+7946.11</f>
        <v>70446.11</v>
      </c>
      <c r="L135" s="199"/>
      <c r="M135" s="211">
        <f t="shared" si="4"/>
        <v>0</v>
      </c>
      <c r="O135" s="302"/>
    </row>
    <row r="136" spans="1:16" hidden="1" x14ac:dyDescent="0.2">
      <c r="A136" s="204" t="s">
        <v>20</v>
      </c>
      <c r="B136" s="205" t="s">
        <v>267</v>
      </c>
      <c r="C136" s="206">
        <v>43325</v>
      </c>
      <c r="D136" s="174" t="s">
        <v>16</v>
      </c>
      <c r="E136" s="207">
        <v>91649.06</v>
      </c>
      <c r="F136" s="208">
        <f>+E136*3.1493</f>
        <v>288630.38465800002</v>
      </c>
      <c r="G136" s="209">
        <f t="shared" si="5"/>
        <v>43385</v>
      </c>
      <c r="H136" s="173"/>
      <c r="I136" s="174"/>
      <c r="J136" s="175"/>
      <c r="K136" s="210">
        <f>55392.05+10000+26200</f>
        <v>91592.05</v>
      </c>
      <c r="L136" s="199"/>
      <c r="M136" s="211">
        <f t="shared" si="4"/>
        <v>57.009999999994761</v>
      </c>
      <c r="O136" s="302"/>
      <c r="P136" s="180"/>
    </row>
    <row r="137" spans="1:16" hidden="1" x14ac:dyDescent="0.2">
      <c r="A137" s="204" t="s">
        <v>235</v>
      </c>
      <c r="B137" s="205" t="s">
        <v>506</v>
      </c>
      <c r="C137" s="206">
        <v>43339</v>
      </c>
      <c r="D137" s="174" t="s">
        <v>16</v>
      </c>
      <c r="E137" s="207">
        <v>69666.17</v>
      </c>
      <c r="F137" s="208">
        <f>+E137*3.19445</f>
        <v>222545.09675649999</v>
      </c>
      <c r="G137" s="209">
        <f t="shared" si="5"/>
        <v>43399</v>
      </c>
      <c r="H137" s="173"/>
      <c r="I137" s="174"/>
      <c r="J137" s="175"/>
      <c r="K137" s="210">
        <f>20000+40000+4000+5660</f>
        <v>69660</v>
      </c>
      <c r="L137" s="199"/>
      <c r="M137" s="211">
        <f t="shared" si="4"/>
        <v>6.1699999999982538</v>
      </c>
      <c r="O137" s="302"/>
    </row>
    <row r="138" spans="1:16" hidden="1" x14ac:dyDescent="0.2">
      <c r="A138" s="204" t="s">
        <v>235</v>
      </c>
      <c r="B138" s="205" t="s">
        <v>549</v>
      </c>
      <c r="C138" s="206">
        <v>43367</v>
      </c>
      <c r="D138" s="174" t="s">
        <v>16</v>
      </c>
      <c r="E138" s="207">
        <v>79458.42</v>
      </c>
      <c r="F138" s="208">
        <f>+E138*3.258</f>
        <v>258875.53235999998</v>
      </c>
      <c r="G138" s="209">
        <f t="shared" si="5"/>
        <v>43427</v>
      </c>
      <c r="H138" s="173"/>
      <c r="I138" s="174"/>
      <c r="J138" s="175"/>
      <c r="K138" s="210">
        <f>10000+20000+18000+6340+6000+15000+4100</f>
        <v>79440</v>
      </c>
      <c r="L138" s="199"/>
      <c r="M138" s="211">
        <f t="shared" si="4"/>
        <v>18.419999999998254</v>
      </c>
      <c r="O138" s="302"/>
      <c r="P138" s="302"/>
    </row>
    <row r="139" spans="1:16" hidden="1" x14ac:dyDescent="0.2">
      <c r="A139" s="204" t="s">
        <v>550</v>
      </c>
      <c r="B139" s="205" t="s">
        <v>581</v>
      </c>
      <c r="C139" s="206">
        <v>43395</v>
      </c>
      <c r="D139" s="174" t="s">
        <v>16</v>
      </c>
      <c r="E139" s="207">
        <v>41622.879999999997</v>
      </c>
      <c r="F139" s="208">
        <f>+E139*3.2642</f>
        <v>135865.40489599999</v>
      </c>
      <c r="G139" s="209">
        <f t="shared" si="5"/>
        <v>43455</v>
      </c>
      <c r="H139" s="173"/>
      <c r="I139" s="174"/>
      <c r="J139" s="175"/>
      <c r="K139" s="210">
        <f>16454.5+25057.13</f>
        <v>41511.630000000005</v>
      </c>
      <c r="L139" s="199"/>
      <c r="M139" s="211">
        <f t="shared" si="4"/>
        <v>111.24999999999272</v>
      </c>
      <c r="O139" s="302"/>
    </row>
    <row r="140" spans="1:16" hidden="1" x14ac:dyDescent="0.2">
      <c r="A140" s="204" t="s">
        <v>20</v>
      </c>
      <c r="B140" s="205" t="s">
        <v>556</v>
      </c>
      <c r="C140" s="206">
        <v>43381</v>
      </c>
      <c r="D140" s="174" t="s">
        <v>16</v>
      </c>
      <c r="E140" s="207">
        <v>88658.559999999998</v>
      </c>
      <c r="F140" s="208">
        <f>+E140*3.24755</f>
        <v>287923.10652799997</v>
      </c>
      <c r="G140" s="209">
        <f t="shared" ref="G140:G171" si="6">+C140+60</f>
        <v>43441</v>
      </c>
      <c r="H140" s="173"/>
      <c r="I140" s="174"/>
      <c r="J140" s="175"/>
      <c r="K140" s="210">
        <f>69050.61+19607.95</f>
        <v>88658.559999999998</v>
      </c>
      <c r="L140" s="199"/>
      <c r="M140" s="211">
        <f t="shared" ref="M140:M188" si="7">E140-K140</f>
        <v>0</v>
      </c>
      <c r="O140" s="302"/>
      <c r="P140" s="26"/>
    </row>
    <row r="141" spans="1:16" hidden="1" x14ac:dyDescent="0.2">
      <c r="A141" s="204" t="s">
        <v>235</v>
      </c>
      <c r="B141" s="205" t="s">
        <v>557</v>
      </c>
      <c r="C141" s="206">
        <v>43384</v>
      </c>
      <c r="D141" s="174" t="s">
        <v>16</v>
      </c>
      <c r="E141" s="207">
        <v>64664.99</v>
      </c>
      <c r="F141" s="208">
        <f>+E141*3.2542</f>
        <v>210432.81045799999</v>
      </c>
      <c r="G141" s="209">
        <f t="shared" si="6"/>
        <v>43444</v>
      </c>
      <c r="H141" s="173"/>
      <c r="I141" s="174"/>
      <c r="J141" s="175"/>
      <c r="K141" s="210">
        <f>15000-4100+10000+5000+6000+7000+3000+10000+3000+3000+5764.99+950</f>
        <v>64614.99</v>
      </c>
      <c r="L141" s="199"/>
      <c r="M141" s="211">
        <f t="shared" si="7"/>
        <v>50</v>
      </c>
      <c r="O141" s="302"/>
    </row>
    <row r="142" spans="1:16" hidden="1" x14ac:dyDescent="0.2">
      <c r="A142" s="204" t="s">
        <v>235</v>
      </c>
      <c r="B142" s="205" t="s">
        <v>579</v>
      </c>
      <c r="C142" s="206">
        <v>43409</v>
      </c>
      <c r="D142" s="174" t="s">
        <v>16</v>
      </c>
      <c r="E142" s="207">
        <v>65673.23</v>
      </c>
      <c r="F142" s="208">
        <f>+E142*3.2927</f>
        <v>216242.24442099998</v>
      </c>
      <c r="G142" s="209">
        <f t="shared" si="6"/>
        <v>43469</v>
      </c>
      <c r="H142" s="173"/>
      <c r="I142" s="174"/>
      <c r="J142" s="175"/>
      <c r="K142" s="210">
        <f>7050+4000+2000+8000+10000+15000+10000+5000+4600</f>
        <v>65650</v>
      </c>
      <c r="L142" s="199"/>
      <c r="M142" s="211">
        <f t="shared" si="7"/>
        <v>23.229999999995925</v>
      </c>
      <c r="O142" s="302"/>
    </row>
    <row r="143" spans="1:16" hidden="1" x14ac:dyDescent="0.2">
      <c r="A143" s="204" t="s">
        <v>20</v>
      </c>
      <c r="B143" s="205" t="s">
        <v>582</v>
      </c>
      <c r="C143" s="206">
        <v>43418</v>
      </c>
      <c r="D143" s="174" t="s">
        <v>16</v>
      </c>
      <c r="E143" s="207">
        <v>395277.2</v>
      </c>
      <c r="F143" s="208">
        <f>+E143*3.30095</f>
        <v>1304790.2733400001</v>
      </c>
      <c r="G143" s="209">
        <f t="shared" si="6"/>
        <v>43478</v>
      </c>
      <c r="H143" s="173">
        <v>600000</v>
      </c>
      <c r="I143" s="174"/>
      <c r="J143" s="175">
        <v>43485</v>
      </c>
      <c r="K143" s="210">
        <v>389204.11</v>
      </c>
      <c r="L143" s="199"/>
      <c r="M143" s="211">
        <f t="shared" si="7"/>
        <v>6073.0900000000256</v>
      </c>
      <c r="O143" s="302"/>
    </row>
    <row r="144" spans="1:16" hidden="1" x14ac:dyDescent="0.2">
      <c r="A144" s="204" t="s">
        <v>20</v>
      </c>
      <c r="B144" s="205" t="s">
        <v>614</v>
      </c>
      <c r="C144" s="206">
        <v>43444</v>
      </c>
      <c r="D144" s="174" t="s">
        <v>19</v>
      </c>
      <c r="E144" s="207">
        <v>389877.46</v>
      </c>
      <c r="F144" s="208">
        <f>+E144*2.96345</f>
        <v>1155382.3588370001</v>
      </c>
      <c r="G144" s="209">
        <f t="shared" si="6"/>
        <v>43504</v>
      </c>
      <c r="H144" s="173"/>
      <c r="I144" s="174"/>
      <c r="J144" s="175"/>
      <c r="K144" s="210">
        <v>383886.92</v>
      </c>
      <c r="L144" s="199"/>
      <c r="M144" s="211">
        <f t="shared" si="7"/>
        <v>5990.5400000000373</v>
      </c>
      <c r="O144" s="302"/>
    </row>
    <row r="145" spans="1:19" hidden="1" x14ac:dyDescent="0.2">
      <c r="A145" s="204" t="s">
        <v>235</v>
      </c>
      <c r="B145" s="205" t="s">
        <v>615</v>
      </c>
      <c r="C145" s="206">
        <v>43446</v>
      </c>
      <c r="D145" s="174" t="s">
        <v>16</v>
      </c>
      <c r="E145" s="207">
        <v>65203.4</v>
      </c>
      <c r="F145" s="208">
        <f>+E145*3.3749</f>
        <v>220054.95465999999</v>
      </c>
      <c r="G145" s="209">
        <f t="shared" si="6"/>
        <v>43506</v>
      </c>
      <c r="H145" s="173"/>
      <c r="I145" s="174"/>
      <c r="J145" s="175"/>
      <c r="K145" s="210">
        <f>400+40000+10000+5000+9803.4</f>
        <v>65203.4</v>
      </c>
      <c r="L145" s="199"/>
      <c r="M145" s="211">
        <f t="shared" si="7"/>
        <v>0</v>
      </c>
      <c r="O145" s="302"/>
    </row>
    <row r="146" spans="1:19" x14ac:dyDescent="0.2">
      <c r="A146" s="233" t="s">
        <v>629</v>
      </c>
      <c r="B146" s="200" t="s">
        <v>702</v>
      </c>
      <c r="C146" s="234">
        <v>43496</v>
      </c>
      <c r="D146" s="235" t="s">
        <v>16</v>
      </c>
      <c r="E146" s="236">
        <v>50227.199999999997</v>
      </c>
      <c r="F146" s="201">
        <f>+E146*3.44525</f>
        <v>173045.26079999999</v>
      </c>
      <c r="G146" s="590">
        <f>+C146+60</f>
        <v>43556</v>
      </c>
      <c r="H146" s="238"/>
      <c r="I146" s="235"/>
      <c r="J146" s="237"/>
      <c r="K146" s="239">
        <f>8000+15000</f>
        <v>23000</v>
      </c>
      <c r="L146" s="240"/>
      <c r="M146" s="241">
        <f t="shared" si="7"/>
        <v>27227.199999999997</v>
      </c>
      <c r="O146" s="302"/>
    </row>
    <row r="147" spans="1:19" x14ac:dyDescent="0.2">
      <c r="A147" s="233" t="s">
        <v>20</v>
      </c>
      <c r="B147" s="200" t="s">
        <v>628</v>
      </c>
      <c r="C147" s="234">
        <v>43483</v>
      </c>
      <c r="D147" s="235" t="s">
        <v>16</v>
      </c>
      <c r="E147" s="236">
        <v>137987.71</v>
      </c>
      <c r="F147" s="201">
        <f>+E147*3.44415</f>
        <v>475250.37139649998</v>
      </c>
      <c r="G147" s="590">
        <f t="shared" si="6"/>
        <v>43543</v>
      </c>
      <c r="H147" s="238"/>
      <c r="I147" s="235"/>
      <c r="J147" s="237"/>
      <c r="K147" s="239">
        <f>7509.39+40000-26200+50000+50000+2879.55</f>
        <v>124188.94</v>
      </c>
      <c r="L147" s="240"/>
      <c r="M147" s="795">
        <f t="shared" si="7"/>
        <v>13798.76999999999</v>
      </c>
      <c r="O147" s="302"/>
      <c r="Q147" s="302"/>
      <c r="S147" s="785"/>
    </row>
    <row r="148" spans="1:19" x14ac:dyDescent="0.2">
      <c r="A148" s="233" t="s">
        <v>235</v>
      </c>
      <c r="B148" s="200" t="s">
        <v>627</v>
      </c>
      <c r="C148" s="234">
        <v>43482</v>
      </c>
      <c r="D148" s="235" t="s">
        <v>16</v>
      </c>
      <c r="E148" s="236">
        <v>65502.35</v>
      </c>
      <c r="F148" s="201">
        <f>+E148*3.44355</f>
        <v>225560.61734250002</v>
      </c>
      <c r="G148" s="590">
        <f t="shared" si="6"/>
        <v>43542</v>
      </c>
      <c r="H148" s="238"/>
      <c r="I148" s="235"/>
      <c r="J148" s="237"/>
      <c r="K148" s="239">
        <f>20000-9803.4+17000+7000</f>
        <v>34196.6</v>
      </c>
      <c r="L148" s="240"/>
      <c r="M148" s="241">
        <f t="shared" si="7"/>
        <v>31305.75</v>
      </c>
      <c r="O148" s="302"/>
    </row>
    <row r="149" spans="1:19" hidden="1" x14ac:dyDescent="0.2">
      <c r="A149" s="204" t="s">
        <v>634</v>
      </c>
      <c r="B149" s="205" t="s">
        <v>703</v>
      </c>
      <c r="C149" s="206">
        <v>43490</v>
      </c>
      <c r="D149" s="174" t="s">
        <v>16</v>
      </c>
      <c r="E149" s="207">
        <v>42427.91</v>
      </c>
      <c r="F149" s="208">
        <f>E149*3.45</f>
        <v>146376.28950000001</v>
      </c>
      <c r="G149" s="209">
        <f t="shared" si="6"/>
        <v>43550</v>
      </c>
      <c r="H149" s="173"/>
      <c r="I149" s="174"/>
      <c r="J149" s="175"/>
      <c r="K149" s="210">
        <f>17103.2+25211.85</f>
        <v>42315.05</v>
      </c>
      <c r="L149" s="199"/>
      <c r="M149" s="211">
        <f t="shared" si="7"/>
        <v>112.86000000000058</v>
      </c>
      <c r="O149" s="302"/>
    </row>
    <row r="150" spans="1:19" x14ac:dyDescent="0.2">
      <c r="A150" s="233" t="s">
        <v>235</v>
      </c>
      <c r="B150" s="200" t="s">
        <v>652</v>
      </c>
      <c r="C150" s="234">
        <v>43502</v>
      </c>
      <c r="D150" s="235" t="s">
        <v>16</v>
      </c>
      <c r="E150" s="236">
        <v>3790</v>
      </c>
      <c r="F150" s="201">
        <f>+E150*3.4618</f>
        <v>13120.222000000002</v>
      </c>
      <c r="G150" s="590">
        <f t="shared" si="6"/>
        <v>43562</v>
      </c>
      <c r="H150" s="238"/>
      <c r="I150" s="235"/>
      <c r="J150" s="237"/>
      <c r="K150" s="239"/>
      <c r="L150" s="240"/>
      <c r="M150" s="241">
        <f t="shared" si="7"/>
        <v>3790</v>
      </c>
      <c r="O150" s="302"/>
    </row>
    <row r="151" spans="1:19" hidden="1" x14ac:dyDescent="0.2">
      <c r="A151" s="204" t="s">
        <v>20</v>
      </c>
      <c r="B151" s="205" t="s">
        <v>651</v>
      </c>
      <c r="C151" s="206">
        <v>43510</v>
      </c>
      <c r="D151" s="174" t="s">
        <v>16</v>
      </c>
      <c r="E151" s="207">
        <v>309779</v>
      </c>
      <c r="F151" s="208">
        <f>+E151*3.45235</f>
        <v>1069465.5306500001</v>
      </c>
      <c r="G151" s="209">
        <f t="shared" si="6"/>
        <v>43570</v>
      </c>
      <c r="H151" s="173"/>
      <c r="I151" s="174"/>
      <c r="J151" s="175"/>
      <c r="K151" s="210">
        <v>304977.84000000003</v>
      </c>
      <c r="L151" s="199"/>
      <c r="M151" s="211">
        <f t="shared" si="7"/>
        <v>4801.1599999999744</v>
      </c>
      <c r="O151" s="302"/>
      <c r="P151" s="180"/>
    </row>
    <row r="152" spans="1:19" x14ac:dyDescent="0.2">
      <c r="A152" s="233" t="s">
        <v>235</v>
      </c>
      <c r="B152" s="200" t="s">
        <v>682</v>
      </c>
      <c r="C152" s="234">
        <v>43531</v>
      </c>
      <c r="D152" s="235" t="s">
        <v>16</v>
      </c>
      <c r="E152" s="236">
        <v>11318.67</v>
      </c>
      <c r="F152" s="201">
        <f>+E152*3.4116</f>
        <v>38614.774572000002</v>
      </c>
      <c r="G152" s="590">
        <f t="shared" si="6"/>
        <v>43591</v>
      </c>
      <c r="H152" s="238"/>
      <c r="I152" s="235"/>
      <c r="J152" s="237"/>
      <c r="K152" s="239"/>
      <c r="L152" s="240"/>
      <c r="M152" s="241">
        <f t="shared" si="7"/>
        <v>11318.67</v>
      </c>
      <c r="O152" s="679"/>
    </row>
    <row r="153" spans="1:19" x14ac:dyDescent="0.2">
      <c r="A153" s="233" t="s">
        <v>15</v>
      </c>
      <c r="B153" s="200" t="s">
        <v>681</v>
      </c>
      <c r="C153" s="234">
        <v>43542</v>
      </c>
      <c r="D153" s="235" t="s">
        <v>16</v>
      </c>
      <c r="E153" s="236">
        <v>60422.38</v>
      </c>
      <c r="F153" s="201">
        <f>+E153*3.39645</f>
        <v>205221.59255100001</v>
      </c>
      <c r="G153" s="590">
        <f t="shared" si="6"/>
        <v>43602</v>
      </c>
      <c r="H153" s="238"/>
      <c r="I153" s="235"/>
      <c r="J153" s="237"/>
      <c r="K153" s="239">
        <f>18116+11241.38+5000+6500</f>
        <v>40857.379999999997</v>
      </c>
      <c r="L153" s="240"/>
      <c r="M153" s="241">
        <f t="shared" si="7"/>
        <v>19565</v>
      </c>
      <c r="O153" s="302"/>
    </row>
    <row r="154" spans="1:19" x14ac:dyDescent="0.2">
      <c r="A154" s="233" t="s">
        <v>235</v>
      </c>
      <c r="B154" s="200" t="s">
        <v>701</v>
      </c>
      <c r="C154" s="234">
        <v>43550</v>
      </c>
      <c r="D154" s="235" t="s">
        <v>16</v>
      </c>
      <c r="E154" s="236">
        <v>30644.13</v>
      </c>
      <c r="F154" s="201">
        <f>+E154*3.3725</f>
        <v>103347.328425</v>
      </c>
      <c r="G154" s="590">
        <f t="shared" si="6"/>
        <v>43610</v>
      </c>
      <c r="H154" s="238"/>
      <c r="I154" s="235"/>
      <c r="J154" s="237"/>
      <c r="K154" s="239"/>
      <c r="L154" s="240"/>
      <c r="M154" s="241">
        <f t="shared" si="7"/>
        <v>30644.13</v>
      </c>
      <c r="O154" s="302"/>
    </row>
    <row r="155" spans="1:19" hidden="1" x14ac:dyDescent="0.2">
      <c r="A155" s="204" t="s">
        <v>17</v>
      </c>
      <c r="B155" s="205" t="s">
        <v>704</v>
      </c>
      <c r="C155" s="206">
        <v>43554</v>
      </c>
      <c r="D155" s="174" t="s">
        <v>16</v>
      </c>
      <c r="E155" s="207">
        <v>47834.43</v>
      </c>
      <c r="F155" s="208">
        <f>+E155*3.37365</f>
        <v>161376.62476949999</v>
      </c>
      <c r="G155" s="209">
        <f t="shared" si="6"/>
        <v>43614</v>
      </c>
      <c r="H155" s="173"/>
      <c r="I155" s="174"/>
      <c r="J155" s="175"/>
      <c r="K155" s="210">
        <v>47834.43</v>
      </c>
      <c r="L155" s="199"/>
      <c r="M155" s="211">
        <f t="shared" si="7"/>
        <v>0</v>
      </c>
      <c r="O155" s="302"/>
    </row>
    <row r="156" spans="1:19" x14ac:dyDescent="0.2">
      <c r="A156" s="233" t="s">
        <v>20</v>
      </c>
      <c r="B156" s="200" t="s">
        <v>726</v>
      </c>
      <c r="C156" s="234">
        <v>43579</v>
      </c>
      <c r="D156" s="235" t="s">
        <v>16</v>
      </c>
      <c r="E156" s="236">
        <v>151758.91</v>
      </c>
      <c r="F156" s="201">
        <f>E156*3.36845</f>
        <v>511192.30038950004</v>
      </c>
      <c r="G156" s="590">
        <f t="shared" si="6"/>
        <v>43639</v>
      </c>
      <c r="H156" s="238"/>
      <c r="I156" s="235"/>
      <c r="J156" s="237"/>
      <c r="K156" s="239">
        <f>4432.61+55000</f>
        <v>59432.61</v>
      </c>
      <c r="L156" s="240"/>
      <c r="M156" s="795">
        <f t="shared" si="7"/>
        <v>92326.3</v>
      </c>
      <c r="O156" s="302"/>
      <c r="P156" s="785"/>
      <c r="S156" s="785"/>
    </row>
    <row r="157" spans="1:19" x14ac:dyDescent="0.2">
      <c r="A157" s="233" t="s">
        <v>235</v>
      </c>
      <c r="B157" s="200" t="s">
        <v>727</v>
      </c>
      <c r="C157" s="234">
        <v>43579</v>
      </c>
      <c r="D157" s="235" t="s">
        <v>16</v>
      </c>
      <c r="E157" s="236">
        <v>48216.5</v>
      </c>
      <c r="F157" s="201">
        <f>+E157*3.36525</f>
        <v>162260.57662500002</v>
      </c>
      <c r="G157" s="590">
        <f t="shared" si="6"/>
        <v>43639</v>
      </c>
      <c r="H157" s="238"/>
      <c r="I157" s="235"/>
      <c r="J157" s="237"/>
      <c r="K157" s="239"/>
      <c r="L157" s="240"/>
      <c r="M157" s="241">
        <f t="shared" si="7"/>
        <v>48216.5</v>
      </c>
      <c r="O157" s="302"/>
    </row>
    <row r="158" spans="1:19" hidden="1" x14ac:dyDescent="0.2">
      <c r="A158" s="204" t="s">
        <v>17</v>
      </c>
      <c r="B158" s="205" t="s">
        <v>749</v>
      </c>
      <c r="C158" s="206">
        <v>43592</v>
      </c>
      <c r="D158" s="174" t="s">
        <v>16</v>
      </c>
      <c r="E158" s="207">
        <v>46048.99</v>
      </c>
      <c r="F158" s="208">
        <f>+E158*3.3532</f>
        <v>154411.473268</v>
      </c>
      <c r="G158" s="209">
        <f t="shared" si="6"/>
        <v>43652</v>
      </c>
      <c r="H158" s="173"/>
      <c r="I158" s="174"/>
      <c r="J158" s="175"/>
      <c r="K158" s="210">
        <v>46048.99</v>
      </c>
      <c r="L158" s="199"/>
      <c r="M158" s="211">
        <f t="shared" si="7"/>
        <v>0</v>
      </c>
      <c r="O158" s="302"/>
    </row>
    <row r="159" spans="1:19" hidden="1" x14ac:dyDescent="0.2">
      <c r="A159" s="204" t="s">
        <v>20</v>
      </c>
      <c r="B159" s="205" t="s">
        <v>750</v>
      </c>
      <c r="C159" s="206">
        <v>43606</v>
      </c>
      <c r="D159" s="174" t="s">
        <v>16</v>
      </c>
      <c r="E159" s="207">
        <v>124137.21</v>
      </c>
      <c r="F159" s="208">
        <f>+E159*3.33895</f>
        <v>414487.93732950004</v>
      </c>
      <c r="G159" s="209">
        <f t="shared" si="6"/>
        <v>43666</v>
      </c>
      <c r="H159" s="173"/>
      <c r="I159" s="174"/>
      <c r="J159" s="175"/>
      <c r="K159" s="210">
        <v>122091.25</v>
      </c>
      <c r="L159" s="199"/>
      <c r="M159" s="211">
        <f t="shared" si="7"/>
        <v>2045.9600000000064</v>
      </c>
      <c r="O159" s="302"/>
    </row>
    <row r="160" spans="1:19" x14ac:dyDescent="0.2">
      <c r="A160" s="233" t="s">
        <v>235</v>
      </c>
      <c r="B160" s="200" t="s">
        <v>773</v>
      </c>
      <c r="C160" s="234">
        <v>43627</v>
      </c>
      <c r="D160" s="235" t="s">
        <v>16</v>
      </c>
      <c r="E160" s="236">
        <v>14381.32</v>
      </c>
      <c r="F160" s="201">
        <f>+E160*3.3433</f>
        <v>48081.067156000005</v>
      </c>
      <c r="G160" s="590">
        <f t="shared" si="6"/>
        <v>43687</v>
      </c>
      <c r="H160" s="238"/>
      <c r="I160" s="235"/>
      <c r="J160" s="237"/>
      <c r="K160" s="239"/>
      <c r="L160" s="240"/>
      <c r="M160" s="241">
        <f t="shared" si="7"/>
        <v>14381.32</v>
      </c>
      <c r="O160" s="302"/>
    </row>
    <row r="161" spans="1:16" hidden="1" x14ac:dyDescent="0.2">
      <c r="A161" s="204" t="s">
        <v>649</v>
      </c>
      <c r="B161" s="205" t="s">
        <v>774</v>
      </c>
      <c r="C161" s="206">
        <v>43629</v>
      </c>
      <c r="D161" s="174" t="s">
        <v>16</v>
      </c>
      <c r="E161" s="207">
        <v>53823.21</v>
      </c>
      <c r="F161" s="208">
        <f>+E161*3.3363</f>
        <v>179570.375523</v>
      </c>
      <c r="G161" s="209">
        <f t="shared" si="6"/>
        <v>43689</v>
      </c>
      <c r="H161" s="173"/>
      <c r="I161" s="174"/>
      <c r="J161" s="175"/>
      <c r="K161" s="210">
        <f>15000+15000+23800</f>
        <v>53800</v>
      </c>
      <c r="L161" s="199"/>
      <c r="M161" s="211">
        <f t="shared" si="7"/>
        <v>23.209999999999127</v>
      </c>
      <c r="O161" s="302"/>
    </row>
    <row r="162" spans="1:16" hidden="1" x14ac:dyDescent="0.2">
      <c r="A162" s="204" t="s">
        <v>17</v>
      </c>
      <c r="B162" s="205" t="s">
        <v>775</v>
      </c>
      <c r="C162" s="206">
        <v>43636</v>
      </c>
      <c r="D162" s="174" t="s">
        <v>16</v>
      </c>
      <c r="E162" s="207">
        <v>85530.82</v>
      </c>
      <c r="F162" s="208">
        <f>E162*3.3199</f>
        <v>283953.76931800001</v>
      </c>
      <c r="G162" s="209">
        <f t="shared" si="6"/>
        <v>43696</v>
      </c>
      <c r="H162" s="173"/>
      <c r="I162" s="174"/>
      <c r="J162" s="175"/>
      <c r="K162" s="210">
        <v>85480.82</v>
      </c>
      <c r="L162" s="199"/>
      <c r="M162" s="211">
        <f t="shared" si="7"/>
        <v>50</v>
      </c>
      <c r="O162" s="302"/>
    </row>
    <row r="163" spans="1:16" x14ac:dyDescent="0.2">
      <c r="A163" s="233" t="s">
        <v>235</v>
      </c>
      <c r="B163" s="200" t="s">
        <v>788</v>
      </c>
      <c r="C163" s="234">
        <v>43643</v>
      </c>
      <c r="D163" s="235" t="s">
        <v>16</v>
      </c>
      <c r="E163" s="236">
        <v>6606.51</v>
      </c>
      <c r="F163" s="201">
        <f>+E163*3.2736</f>
        <v>21627.071136000002</v>
      </c>
      <c r="G163" s="590">
        <f t="shared" si="6"/>
        <v>43703</v>
      </c>
      <c r="H163" s="238"/>
      <c r="I163" s="235"/>
      <c r="J163" s="237"/>
      <c r="K163" s="239"/>
      <c r="L163" s="240"/>
      <c r="M163" s="241">
        <f t="shared" si="7"/>
        <v>6606.51</v>
      </c>
      <c r="O163" s="302"/>
    </row>
    <row r="164" spans="1:16" hidden="1" x14ac:dyDescent="0.2">
      <c r="A164" s="204" t="s">
        <v>20</v>
      </c>
      <c r="B164" s="205" t="s">
        <v>810</v>
      </c>
      <c r="C164" s="206">
        <v>43650</v>
      </c>
      <c r="D164" s="174" t="s">
        <v>16</v>
      </c>
      <c r="E164" s="207">
        <v>80487.839999999997</v>
      </c>
      <c r="F164" s="208">
        <f>+E164*3.2573</f>
        <v>262173.04123199999</v>
      </c>
      <c r="G164" s="209">
        <f t="shared" si="6"/>
        <v>43710</v>
      </c>
      <c r="H164" s="173"/>
      <c r="I164" s="174"/>
      <c r="J164" s="175"/>
      <c r="K164" s="210">
        <v>80487.839999999997</v>
      </c>
      <c r="L164" s="199"/>
      <c r="M164" s="211">
        <f t="shared" si="7"/>
        <v>0</v>
      </c>
      <c r="O164" s="302"/>
      <c r="P164" s="785"/>
    </row>
    <row r="165" spans="1:16" hidden="1" x14ac:dyDescent="0.2">
      <c r="A165" s="204" t="s">
        <v>17</v>
      </c>
      <c r="B165" s="205" t="s">
        <v>811</v>
      </c>
      <c r="C165" s="206">
        <v>43655</v>
      </c>
      <c r="D165" s="174" t="s">
        <v>16</v>
      </c>
      <c r="E165" s="207">
        <v>52593.94</v>
      </c>
      <c r="F165" s="208">
        <f>+E165*3.24225</f>
        <v>170522.70196499999</v>
      </c>
      <c r="G165" s="209">
        <f t="shared" si="6"/>
        <v>43715</v>
      </c>
      <c r="H165" s="173"/>
      <c r="I165" s="174"/>
      <c r="J165" s="175"/>
      <c r="K165" s="210">
        <v>52543.94</v>
      </c>
      <c r="L165" s="199"/>
      <c r="M165" s="211">
        <f t="shared" si="7"/>
        <v>50</v>
      </c>
      <c r="O165" s="302"/>
    </row>
    <row r="166" spans="1:16" hidden="1" x14ac:dyDescent="0.2">
      <c r="A166" s="204" t="s">
        <v>649</v>
      </c>
      <c r="B166" s="205" t="s">
        <v>820</v>
      </c>
      <c r="C166" s="117">
        <v>43665</v>
      </c>
      <c r="D166" s="174" t="s">
        <v>16</v>
      </c>
      <c r="E166" s="207">
        <v>53896.34</v>
      </c>
      <c r="F166" s="208">
        <f>+E166*3.22635</f>
        <v>173888.45655899998</v>
      </c>
      <c r="G166" s="209">
        <f t="shared" si="6"/>
        <v>43725</v>
      </c>
      <c r="H166" s="173"/>
      <c r="I166" s="174"/>
      <c r="J166" s="175"/>
      <c r="K166" s="210">
        <f>6200+19980+18823.21+8850</f>
        <v>53853.21</v>
      </c>
      <c r="L166" s="199"/>
      <c r="M166" s="211">
        <f t="shared" si="7"/>
        <v>43.129999999997381</v>
      </c>
      <c r="O166" s="302"/>
    </row>
    <row r="167" spans="1:16" hidden="1" x14ac:dyDescent="0.2">
      <c r="A167" s="204" t="s">
        <v>17</v>
      </c>
      <c r="B167" s="205" t="s">
        <v>821</v>
      </c>
      <c r="C167" s="206">
        <v>43665</v>
      </c>
      <c r="D167" s="174" t="s">
        <v>16</v>
      </c>
      <c r="E167" s="207">
        <v>44431.67</v>
      </c>
      <c r="F167" s="208">
        <f>+E167*3.22635</f>
        <v>143352.11850449999</v>
      </c>
      <c r="G167" s="209">
        <f t="shared" si="6"/>
        <v>43725</v>
      </c>
      <c r="H167" s="173"/>
      <c r="I167" s="174"/>
      <c r="J167" s="175"/>
      <c r="K167" s="210">
        <v>44401.67</v>
      </c>
      <c r="L167" s="199"/>
      <c r="M167" s="211">
        <f t="shared" si="7"/>
        <v>30</v>
      </c>
      <c r="O167" s="302"/>
    </row>
    <row r="168" spans="1:16" hidden="1" x14ac:dyDescent="0.2">
      <c r="A168" s="204" t="s">
        <v>649</v>
      </c>
      <c r="B168" s="205" t="s">
        <v>828</v>
      </c>
      <c r="C168" s="206">
        <v>43675</v>
      </c>
      <c r="D168" s="174" t="s">
        <v>16</v>
      </c>
      <c r="E168" s="207">
        <v>53848.29</v>
      </c>
      <c r="F168" s="208">
        <f>+E168*3.21015</f>
        <v>172861.0881435</v>
      </c>
      <c r="G168" s="209">
        <f t="shared" si="6"/>
        <v>43735</v>
      </c>
      <c r="H168" s="173"/>
      <c r="I168" s="174"/>
      <c r="J168" s="175"/>
      <c r="K168" s="210">
        <f>14980-8850+10000+15000+22700</f>
        <v>53830</v>
      </c>
      <c r="L168" s="199"/>
      <c r="M168" s="211">
        <f t="shared" si="7"/>
        <v>18.290000000000873</v>
      </c>
      <c r="O168" s="302"/>
    </row>
    <row r="169" spans="1:16" x14ac:dyDescent="0.2">
      <c r="A169" s="233" t="s">
        <v>235</v>
      </c>
      <c r="B169" s="200" t="s">
        <v>829</v>
      </c>
      <c r="C169" s="234">
        <v>43676</v>
      </c>
      <c r="D169" s="235" t="s">
        <v>16</v>
      </c>
      <c r="E169" s="236">
        <v>13862.44</v>
      </c>
      <c r="F169" s="201">
        <f>+E169*3.21085</f>
        <v>44510.215474000004</v>
      </c>
      <c r="G169" s="590">
        <f t="shared" si="6"/>
        <v>43736</v>
      </c>
      <c r="H169" s="238"/>
      <c r="I169" s="235"/>
      <c r="J169" s="237"/>
      <c r="K169" s="239"/>
      <c r="L169" s="240"/>
      <c r="M169" s="241">
        <f t="shared" si="7"/>
        <v>13862.44</v>
      </c>
      <c r="O169" s="302"/>
    </row>
    <row r="170" spans="1:16" hidden="1" x14ac:dyDescent="0.2">
      <c r="A170" s="204" t="s">
        <v>20</v>
      </c>
      <c r="B170" s="205" t="s">
        <v>870</v>
      </c>
      <c r="C170" s="206">
        <v>43692</v>
      </c>
      <c r="D170" s="174" t="s">
        <v>16</v>
      </c>
      <c r="E170" s="207">
        <v>229973.4</v>
      </c>
      <c r="F170" s="208">
        <f>+E170*3.17835</f>
        <v>730935.95588999998</v>
      </c>
      <c r="G170" s="209">
        <f t="shared" si="6"/>
        <v>43752</v>
      </c>
      <c r="H170" s="173"/>
      <c r="I170" s="174"/>
      <c r="J170" s="175"/>
      <c r="K170" s="210">
        <v>226364.58</v>
      </c>
      <c r="L170" s="199"/>
      <c r="M170" s="211">
        <f t="shared" si="7"/>
        <v>3608.820000000007</v>
      </c>
      <c r="O170" s="302"/>
      <c r="P170" s="785"/>
    </row>
    <row r="171" spans="1:16" hidden="1" x14ac:dyDescent="0.2">
      <c r="A171" s="204" t="s">
        <v>17</v>
      </c>
      <c r="B171" s="205" t="s">
        <v>871</v>
      </c>
      <c r="C171" s="206">
        <v>43697</v>
      </c>
      <c r="D171" s="174" t="s">
        <v>16</v>
      </c>
      <c r="E171" s="207">
        <v>90857.55</v>
      </c>
      <c r="F171" s="208">
        <f>+E171*3.1833</f>
        <v>289226.83891500003</v>
      </c>
      <c r="G171" s="209">
        <f t="shared" si="6"/>
        <v>43757</v>
      </c>
      <c r="H171" s="173"/>
      <c r="I171" s="174"/>
      <c r="J171" s="175"/>
      <c r="K171" s="210">
        <v>90807.55</v>
      </c>
      <c r="L171" s="199"/>
      <c r="M171" s="211">
        <f t="shared" si="7"/>
        <v>50</v>
      </c>
      <c r="O171" s="302"/>
    </row>
    <row r="172" spans="1:16" hidden="1" x14ac:dyDescent="0.2">
      <c r="A172" s="204" t="s">
        <v>649</v>
      </c>
      <c r="B172" s="205" t="s">
        <v>869</v>
      </c>
      <c r="C172" s="206">
        <v>43665</v>
      </c>
      <c r="D172" s="174" t="s">
        <v>16</v>
      </c>
      <c r="E172" s="207">
        <v>90094.96</v>
      </c>
      <c r="F172" s="208">
        <f>+E172*3.21015</f>
        <v>289218.33584400004</v>
      </c>
      <c r="G172" s="209">
        <f t="shared" ref="G172:G188" si="8">+C172+60</f>
        <v>43725</v>
      </c>
      <c r="H172" s="173"/>
      <c r="I172" s="174"/>
      <c r="J172" s="175"/>
      <c r="K172" s="210">
        <f>26000-22700+23930+14985+10074.96+10000+27785</f>
        <v>90074.959999999992</v>
      </c>
      <c r="L172" s="199"/>
      <c r="M172" s="211">
        <f t="shared" si="7"/>
        <v>20.000000000014552</v>
      </c>
      <c r="O172" s="302"/>
      <c r="P172" s="180"/>
    </row>
    <row r="173" spans="1:16" x14ac:dyDescent="0.2">
      <c r="A173" s="233" t="s">
        <v>235</v>
      </c>
      <c r="B173" s="200" t="s">
        <v>886</v>
      </c>
      <c r="C173" s="234">
        <v>43706</v>
      </c>
      <c r="D173" s="235" t="s">
        <v>16</v>
      </c>
      <c r="E173" s="236">
        <v>14604.6</v>
      </c>
      <c r="F173" s="201">
        <f>+E173*3.17395</f>
        <v>46354.270170000003</v>
      </c>
      <c r="G173" s="590">
        <f t="shared" si="8"/>
        <v>43766</v>
      </c>
      <c r="H173" s="238"/>
      <c r="I173" s="235"/>
      <c r="J173" s="237"/>
      <c r="K173" s="239"/>
      <c r="L173" s="240"/>
      <c r="M173" s="241">
        <f t="shared" si="7"/>
        <v>14604.6</v>
      </c>
      <c r="O173" s="302"/>
    </row>
    <row r="174" spans="1:16" hidden="1" x14ac:dyDescent="0.2">
      <c r="A174" s="204" t="s">
        <v>634</v>
      </c>
      <c r="B174" s="205" t="s">
        <v>887</v>
      </c>
      <c r="C174" s="206">
        <v>43684</v>
      </c>
      <c r="D174" s="174" t="s">
        <v>16</v>
      </c>
      <c r="E174" s="207">
        <v>42399.65</v>
      </c>
      <c r="F174" s="208">
        <f>+E174*3.17565</f>
        <v>134646.4485225</v>
      </c>
      <c r="G174" s="209">
        <f t="shared" si="8"/>
        <v>43744</v>
      </c>
      <c r="H174" s="173"/>
      <c r="I174" s="174"/>
      <c r="J174" s="175"/>
      <c r="K174" s="210">
        <f>12780.53+29545.26</f>
        <v>42325.79</v>
      </c>
      <c r="L174" s="199"/>
      <c r="M174" s="211">
        <f t="shared" si="7"/>
        <v>73.860000000000582</v>
      </c>
      <c r="O174" s="302"/>
    </row>
    <row r="175" spans="1:16" x14ac:dyDescent="0.2">
      <c r="A175" s="233" t="s">
        <v>649</v>
      </c>
      <c r="B175" s="200" t="s">
        <v>888</v>
      </c>
      <c r="C175" s="234">
        <v>43710</v>
      </c>
      <c r="D175" s="235" t="s">
        <v>16</v>
      </c>
      <c r="E175" s="236">
        <v>53100.51</v>
      </c>
      <c r="F175" s="201">
        <f>+E175*3.1688</f>
        <v>168264.89608800001</v>
      </c>
      <c r="G175" s="590">
        <f t="shared" si="8"/>
        <v>43770</v>
      </c>
      <c r="H175" s="238"/>
      <c r="I175" s="235"/>
      <c r="J175" s="237"/>
      <c r="K175" s="239">
        <f>38875.34-27785+38848.29</f>
        <v>49938.63</v>
      </c>
      <c r="L175" s="240"/>
      <c r="M175" s="241">
        <f t="shared" si="7"/>
        <v>3161.8800000000047</v>
      </c>
      <c r="O175" s="302"/>
    </row>
    <row r="176" spans="1:16" x14ac:dyDescent="0.2">
      <c r="A176" s="233" t="s">
        <v>649</v>
      </c>
      <c r="B176" s="200" t="s">
        <v>917</v>
      </c>
      <c r="C176" s="234">
        <v>43721</v>
      </c>
      <c r="D176" s="235" t="s">
        <v>16</v>
      </c>
      <c r="E176" s="236">
        <v>55220.26</v>
      </c>
      <c r="F176" s="201">
        <f>+E176*3.16425</f>
        <v>174730.70770500001</v>
      </c>
      <c r="G176" s="590">
        <f t="shared" si="8"/>
        <v>43781</v>
      </c>
      <c r="H176" s="238"/>
      <c r="I176" s="235"/>
      <c r="J176" s="237"/>
      <c r="K176" s="239"/>
      <c r="L176" s="240"/>
      <c r="M176" s="241">
        <f t="shared" si="7"/>
        <v>55220.26</v>
      </c>
      <c r="O176" s="302"/>
    </row>
    <row r="177" spans="1:15" hidden="1" x14ac:dyDescent="0.2">
      <c r="A177" s="204" t="s">
        <v>20</v>
      </c>
      <c r="B177" s="205" t="s">
        <v>961</v>
      </c>
      <c r="C177" s="206">
        <v>43721</v>
      </c>
      <c r="D177" s="174" t="s">
        <v>16</v>
      </c>
      <c r="E177" s="207">
        <v>175421.32</v>
      </c>
      <c r="F177" s="208">
        <f>+E177*3.16055</f>
        <v>554427.85292600002</v>
      </c>
      <c r="G177" s="209">
        <f t="shared" si="8"/>
        <v>43781</v>
      </c>
      <c r="H177" s="173"/>
      <c r="I177" s="174"/>
      <c r="J177" s="175"/>
      <c r="K177" s="210">
        <v>172625.18</v>
      </c>
      <c r="L177" s="199"/>
      <c r="M177" s="211">
        <f t="shared" si="7"/>
        <v>2796.140000000014</v>
      </c>
      <c r="O177" s="302"/>
    </row>
    <row r="178" spans="1:15" x14ac:dyDescent="0.2">
      <c r="A178" s="233" t="s">
        <v>235</v>
      </c>
      <c r="B178" s="200" t="s">
        <v>918</v>
      </c>
      <c r="C178" s="234">
        <v>43721</v>
      </c>
      <c r="D178" s="235" t="s">
        <v>16</v>
      </c>
      <c r="E178" s="236">
        <v>32359.99</v>
      </c>
      <c r="F178" s="201">
        <f>+E178*3.16055</f>
        <v>102275.36639450002</v>
      </c>
      <c r="G178" s="590">
        <f t="shared" si="8"/>
        <v>43781</v>
      </c>
      <c r="H178" s="238"/>
      <c r="I178" s="235"/>
      <c r="J178" s="237"/>
      <c r="K178" s="239"/>
      <c r="L178" s="240"/>
      <c r="M178" s="241">
        <f t="shared" si="7"/>
        <v>32359.99</v>
      </c>
      <c r="O178" s="302"/>
    </row>
    <row r="179" spans="1:15" hidden="1" x14ac:dyDescent="0.2">
      <c r="A179" s="204" t="s">
        <v>17</v>
      </c>
      <c r="B179" s="205" t="s">
        <v>924</v>
      </c>
      <c r="C179" s="206">
        <v>43733</v>
      </c>
      <c r="D179" s="174" t="s">
        <v>16</v>
      </c>
      <c r="E179" s="207">
        <v>58295.42</v>
      </c>
      <c r="F179" s="208">
        <f>+E179*3.14815</f>
        <v>183522.72647299999</v>
      </c>
      <c r="G179" s="209">
        <f t="shared" si="8"/>
        <v>43793</v>
      </c>
      <c r="H179" s="173"/>
      <c r="I179" s="174"/>
      <c r="J179" s="175"/>
      <c r="K179" s="210">
        <v>58245.42</v>
      </c>
      <c r="L179" s="199"/>
      <c r="M179" s="211">
        <f t="shared" si="7"/>
        <v>50</v>
      </c>
      <c r="O179" s="302"/>
    </row>
    <row r="180" spans="1:15" x14ac:dyDescent="0.2">
      <c r="A180" s="233" t="s">
        <v>17</v>
      </c>
      <c r="B180" s="200" t="s">
        <v>1006</v>
      </c>
      <c r="C180" s="234">
        <v>43759</v>
      </c>
      <c r="D180" s="235" t="s">
        <v>16</v>
      </c>
      <c r="E180" s="236">
        <v>48377.22</v>
      </c>
      <c r="F180" s="201">
        <f>+E180*3.1514</f>
        <v>152455.97110800003</v>
      </c>
      <c r="G180" s="590">
        <v>43823</v>
      </c>
      <c r="H180" s="238"/>
      <c r="I180" s="235"/>
      <c r="J180" s="237"/>
      <c r="K180" s="239"/>
      <c r="L180" s="240"/>
      <c r="M180" s="241">
        <f t="shared" si="7"/>
        <v>48377.22</v>
      </c>
      <c r="O180" s="302"/>
    </row>
    <row r="181" spans="1:15" x14ac:dyDescent="0.2">
      <c r="A181" s="233" t="s">
        <v>649</v>
      </c>
      <c r="B181" s="200" t="s">
        <v>1007</v>
      </c>
      <c r="C181" s="234">
        <v>43767</v>
      </c>
      <c r="D181" s="235" t="s">
        <v>16</v>
      </c>
      <c r="E181" s="236">
        <v>59886.98</v>
      </c>
      <c r="F181" s="201">
        <f>+E181*3.1485</f>
        <v>188554.15653000001</v>
      </c>
      <c r="G181" s="590">
        <f t="shared" si="8"/>
        <v>43827</v>
      </c>
      <c r="H181" s="238"/>
      <c r="I181" s="235"/>
      <c r="J181" s="237"/>
      <c r="K181" s="239"/>
      <c r="L181" s="240"/>
      <c r="M181" s="241">
        <f t="shared" si="7"/>
        <v>59886.98</v>
      </c>
      <c r="O181" s="302"/>
    </row>
    <row r="182" spans="1:15" x14ac:dyDescent="0.2">
      <c r="A182" s="233" t="s">
        <v>235</v>
      </c>
      <c r="B182" s="200" t="s">
        <v>1070</v>
      </c>
      <c r="C182" s="234">
        <v>43769</v>
      </c>
      <c r="D182" s="235" t="s">
        <v>16</v>
      </c>
      <c r="E182" s="236">
        <v>20916.490000000002</v>
      </c>
      <c r="F182" s="201">
        <f>E182*3.1485</f>
        <v>65855.568765000004</v>
      </c>
      <c r="G182" s="590">
        <f t="shared" si="8"/>
        <v>43829</v>
      </c>
      <c r="H182" s="238"/>
      <c r="I182" s="235"/>
      <c r="J182" s="237"/>
      <c r="K182" s="239"/>
      <c r="L182" s="240"/>
      <c r="M182" s="241">
        <f t="shared" si="7"/>
        <v>20916.490000000002</v>
      </c>
      <c r="O182" s="302"/>
    </row>
    <row r="183" spans="1:15" hidden="1" x14ac:dyDescent="0.2">
      <c r="A183" s="204" t="s">
        <v>17</v>
      </c>
      <c r="B183" s="205" t="s">
        <v>1071</v>
      </c>
      <c r="C183" s="206">
        <v>43776</v>
      </c>
      <c r="D183" s="174" t="s">
        <v>16</v>
      </c>
      <c r="E183" s="207">
        <v>96712.63</v>
      </c>
      <c r="F183" s="208">
        <f>+E183*3.14845</f>
        <v>304494.8799235</v>
      </c>
      <c r="G183" s="209">
        <f t="shared" si="8"/>
        <v>43836</v>
      </c>
      <c r="H183" s="173"/>
      <c r="I183" s="174"/>
      <c r="J183" s="175"/>
      <c r="K183" s="210">
        <v>96662.63</v>
      </c>
      <c r="L183" s="199"/>
      <c r="M183" s="211">
        <f t="shared" si="7"/>
        <v>50</v>
      </c>
      <c r="O183" s="302"/>
    </row>
    <row r="184" spans="1:15" x14ac:dyDescent="0.2">
      <c r="A184" s="233" t="s">
        <v>235</v>
      </c>
      <c r="B184" s="200" t="s">
        <v>1137</v>
      </c>
      <c r="C184" s="234">
        <v>43787</v>
      </c>
      <c r="D184" s="235" t="s">
        <v>16</v>
      </c>
      <c r="E184" s="236">
        <v>15753.93</v>
      </c>
      <c r="F184" s="201">
        <f>+E184*3.155</f>
        <v>49703.649149999997</v>
      </c>
      <c r="G184" s="590">
        <f t="shared" si="8"/>
        <v>43847</v>
      </c>
      <c r="H184" s="238"/>
      <c r="I184" s="235"/>
      <c r="J184" s="237"/>
      <c r="K184" s="239"/>
      <c r="L184" s="240"/>
      <c r="M184" s="241">
        <f t="shared" si="7"/>
        <v>15753.93</v>
      </c>
      <c r="O184" s="302"/>
    </row>
    <row r="185" spans="1:15" hidden="1" x14ac:dyDescent="0.2">
      <c r="A185" s="204" t="s">
        <v>20</v>
      </c>
      <c r="B185" s="205" t="s">
        <v>1147</v>
      </c>
      <c r="C185" s="206">
        <v>43790</v>
      </c>
      <c r="D185" s="174" t="s">
        <v>16</v>
      </c>
      <c r="E185" s="207">
        <v>169723.78</v>
      </c>
      <c r="F185" s="208">
        <f>+E185*3.15365</f>
        <v>535249.39879699994</v>
      </c>
      <c r="G185" s="209">
        <f t="shared" si="8"/>
        <v>43850</v>
      </c>
      <c r="H185" s="173"/>
      <c r="I185" s="174"/>
      <c r="J185" s="175"/>
      <c r="K185" s="210">
        <v>167014.51</v>
      </c>
      <c r="L185" s="199"/>
      <c r="M185" s="902">
        <f t="shared" si="7"/>
        <v>2709.2699999999895</v>
      </c>
      <c r="O185" s="302"/>
    </row>
    <row r="186" spans="1:15" x14ac:dyDescent="0.2">
      <c r="A186" s="233" t="s">
        <v>20</v>
      </c>
      <c r="B186" s="200" t="s">
        <v>1251</v>
      </c>
      <c r="C186" s="234">
        <v>43808</v>
      </c>
      <c r="D186" s="235" t="s">
        <v>16</v>
      </c>
      <c r="E186" s="236">
        <v>72000.600000000006</v>
      </c>
      <c r="F186" s="201">
        <f>E186*3.17075</f>
        <v>228295.90245000002</v>
      </c>
      <c r="G186" s="590">
        <f t="shared" si="8"/>
        <v>43868</v>
      </c>
      <c r="H186" s="238"/>
      <c r="I186" s="235"/>
      <c r="J186" s="237"/>
      <c r="K186" s="239"/>
      <c r="L186" s="240"/>
      <c r="M186" s="241">
        <f t="shared" si="7"/>
        <v>72000.600000000006</v>
      </c>
      <c r="O186" s="302"/>
    </row>
    <row r="187" spans="1:15" x14ac:dyDescent="0.2">
      <c r="A187" s="233" t="s">
        <v>235</v>
      </c>
      <c r="B187" s="200" t="s">
        <v>1424</v>
      </c>
      <c r="C187" s="234">
        <v>43817</v>
      </c>
      <c r="D187" s="235" t="s">
        <v>16</v>
      </c>
      <c r="E187" s="236">
        <v>34545.919999999998</v>
      </c>
      <c r="F187" s="201">
        <f>+E187*3.1659</f>
        <v>109368.928128</v>
      </c>
      <c r="G187" s="590">
        <f t="shared" si="8"/>
        <v>43877</v>
      </c>
      <c r="H187" s="238"/>
      <c r="I187" s="235"/>
      <c r="J187" s="237"/>
      <c r="K187" s="239"/>
      <c r="L187" s="240"/>
      <c r="M187" s="241">
        <f t="shared" si="7"/>
        <v>34545.919999999998</v>
      </c>
      <c r="O187" s="302"/>
    </row>
    <row r="188" spans="1:15" x14ac:dyDescent="0.2">
      <c r="A188" s="233" t="s">
        <v>20</v>
      </c>
      <c r="B188" s="200" t="s">
        <v>1425</v>
      </c>
      <c r="C188" s="234">
        <v>43820</v>
      </c>
      <c r="D188" s="235" t="s">
        <v>16</v>
      </c>
      <c r="E188" s="236">
        <v>69278.3</v>
      </c>
      <c r="F188" s="201">
        <f>+E188*3.1659</f>
        <v>219328.16997000002</v>
      </c>
      <c r="G188" s="590">
        <f t="shared" si="8"/>
        <v>43880</v>
      </c>
      <c r="H188" s="238"/>
      <c r="I188" s="235"/>
      <c r="J188" s="237"/>
      <c r="K188" s="239"/>
      <c r="L188" s="240"/>
      <c r="M188" s="241">
        <f t="shared" si="7"/>
        <v>69278.3</v>
      </c>
      <c r="O188" s="302"/>
    </row>
    <row r="189" spans="1:15" ht="13.5" thickBot="1" x14ac:dyDescent="0.25">
      <c r="A189" s="636"/>
      <c r="B189" s="137"/>
      <c r="C189" s="176"/>
      <c r="D189" s="176"/>
      <c r="E189" s="138"/>
      <c r="F189" s="191"/>
      <c r="G189" s="637"/>
      <c r="H189" s="638"/>
      <c r="I189" s="176"/>
      <c r="J189" s="186"/>
      <c r="K189" s="639"/>
      <c r="L189" s="186"/>
      <c r="M189" s="640"/>
      <c r="O189" s="302"/>
    </row>
    <row r="190" spans="1:15" ht="13.5" thickBot="1" x14ac:dyDescent="0.25">
      <c r="G190" s="641"/>
    </row>
    <row r="191" spans="1:15" ht="13.5" thickBot="1" x14ac:dyDescent="0.25">
      <c r="A191" s="998" t="s">
        <v>0</v>
      </c>
      <c r="B191" s="996" t="s">
        <v>1</v>
      </c>
      <c r="C191" s="996"/>
      <c r="D191" s="996"/>
      <c r="E191" s="996"/>
      <c r="F191" s="996"/>
      <c r="G191" s="996"/>
      <c r="H191" s="997" t="s">
        <v>2</v>
      </c>
      <c r="I191" s="997"/>
      <c r="J191" s="997"/>
      <c r="K191" s="997" t="s">
        <v>3</v>
      </c>
      <c r="L191" s="997"/>
      <c r="M191" s="998" t="s">
        <v>4</v>
      </c>
    </row>
    <row r="192" spans="1:15" ht="13.5" thickBot="1" x14ac:dyDescent="0.25">
      <c r="A192" s="998"/>
      <c r="B192" s="379" t="s">
        <v>5</v>
      </c>
      <c r="C192" s="379" t="s">
        <v>6</v>
      </c>
      <c r="D192" s="379" t="s">
        <v>7</v>
      </c>
      <c r="E192" s="17" t="s">
        <v>8</v>
      </c>
      <c r="F192" s="16" t="s">
        <v>9</v>
      </c>
      <c r="G192" s="380" t="s">
        <v>10</v>
      </c>
      <c r="H192" s="16" t="s">
        <v>11</v>
      </c>
      <c r="I192" s="379" t="s">
        <v>12</v>
      </c>
      <c r="J192" s="380" t="s">
        <v>13</v>
      </c>
      <c r="K192" s="17" t="s">
        <v>11</v>
      </c>
      <c r="L192" s="380" t="s">
        <v>14</v>
      </c>
      <c r="M192" s="998"/>
    </row>
    <row r="193" spans="1:15" hidden="1" x14ac:dyDescent="0.2">
      <c r="A193" s="204" t="s">
        <v>180</v>
      </c>
      <c r="B193" s="205" t="s">
        <v>181</v>
      </c>
      <c r="C193" s="206">
        <v>42922</v>
      </c>
      <c r="D193" s="174" t="s">
        <v>16</v>
      </c>
      <c r="E193" s="207">
        <v>16500</v>
      </c>
      <c r="F193" s="208">
        <f>+E193*2.75975</f>
        <v>45535.875</v>
      </c>
      <c r="G193" s="175">
        <f t="shared" ref="G193:G211" si="9">+C193+60</f>
        <v>42982</v>
      </c>
      <c r="H193" s="173"/>
      <c r="I193" s="206"/>
      <c r="J193" s="175"/>
      <c r="K193" s="210">
        <v>16448</v>
      </c>
      <c r="L193" s="199"/>
      <c r="M193" s="211">
        <f>E193-K193</f>
        <v>52</v>
      </c>
      <c r="O193" s="277"/>
    </row>
    <row r="194" spans="1:15" hidden="1" x14ac:dyDescent="0.2">
      <c r="A194" s="204" t="s">
        <v>180</v>
      </c>
      <c r="B194" s="205" t="s">
        <v>182</v>
      </c>
      <c r="C194" s="206">
        <v>42929</v>
      </c>
      <c r="D194" s="174" t="s">
        <v>16</v>
      </c>
      <c r="E194" s="207">
        <v>6020</v>
      </c>
      <c r="F194" s="208">
        <f>+E194*2.77865</f>
        <v>16727.472999999998</v>
      </c>
      <c r="G194" s="175">
        <f t="shared" si="9"/>
        <v>42989</v>
      </c>
      <c r="H194" s="173"/>
      <c r="I194" s="206"/>
      <c r="J194" s="175"/>
      <c r="K194" s="210">
        <v>6000</v>
      </c>
      <c r="L194" s="199"/>
      <c r="M194" s="211">
        <f t="shared" ref="M194:M211" si="10">E194-K194</f>
        <v>20</v>
      </c>
    </row>
    <row r="195" spans="1:15" hidden="1" x14ac:dyDescent="0.2">
      <c r="A195" s="204" t="s">
        <v>180</v>
      </c>
      <c r="B195" s="205" t="s">
        <v>183</v>
      </c>
      <c r="C195" s="206">
        <v>42936</v>
      </c>
      <c r="D195" s="174" t="s">
        <v>16</v>
      </c>
      <c r="E195" s="207">
        <v>16500</v>
      </c>
      <c r="F195" s="208">
        <f>+E195*2.78795</f>
        <v>46001.174999999996</v>
      </c>
      <c r="G195" s="175">
        <f t="shared" si="9"/>
        <v>42996</v>
      </c>
      <c r="H195" s="173"/>
      <c r="I195" s="206"/>
      <c r="J195" s="175"/>
      <c r="K195" s="210">
        <f>6500+10000</f>
        <v>16500</v>
      </c>
      <c r="L195" s="199"/>
      <c r="M195" s="211">
        <f t="shared" si="10"/>
        <v>0</v>
      </c>
    </row>
    <row r="196" spans="1:15" hidden="1" x14ac:dyDescent="0.2">
      <c r="A196" s="204" t="s">
        <v>180</v>
      </c>
      <c r="B196" s="205" t="s">
        <v>184</v>
      </c>
      <c r="C196" s="206">
        <v>42951</v>
      </c>
      <c r="D196" s="174" t="s">
        <v>16</v>
      </c>
      <c r="E196" s="207">
        <v>11215</v>
      </c>
      <c r="F196" s="208">
        <f>+E196*2.81145</f>
        <v>31530.411749999999</v>
      </c>
      <c r="G196" s="175">
        <f t="shared" si="9"/>
        <v>43011</v>
      </c>
      <c r="H196" s="173"/>
      <c r="I196" s="206"/>
      <c r="J196" s="175"/>
      <c r="K196" s="210">
        <v>11215</v>
      </c>
      <c r="L196" s="199"/>
      <c r="M196" s="211">
        <f t="shared" si="10"/>
        <v>0</v>
      </c>
    </row>
    <row r="197" spans="1:15" hidden="1" x14ac:dyDescent="0.2">
      <c r="A197" s="204" t="s">
        <v>180</v>
      </c>
      <c r="B197" s="205" t="s">
        <v>192</v>
      </c>
      <c r="C197" s="206">
        <v>42958</v>
      </c>
      <c r="D197" s="174" t="s">
        <v>16</v>
      </c>
      <c r="E197" s="207">
        <v>8140</v>
      </c>
      <c r="F197" s="208">
        <f>+E197*2.80365</f>
        <v>22821.711000000003</v>
      </c>
      <c r="G197" s="175">
        <f t="shared" si="9"/>
        <v>43018</v>
      </c>
      <c r="H197" s="173"/>
      <c r="I197" s="206"/>
      <c r="J197" s="175"/>
      <c r="K197" s="210">
        <v>8140</v>
      </c>
      <c r="L197" s="199"/>
      <c r="M197" s="211">
        <f t="shared" si="10"/>
        <v>0</v>
      </c>
    </row>
    <row r="198" spans="1:15" hidden="1" x14ac:dyDescent="0.2">
      <c r="A198" s="204" t="s">
        <v>180</v>
      </c>
      <c r="B198" s="205" t="s">
        <v>194</v>
      </c>
      <c r="C198" s="206">
        <v>42965</v>
      </c>
      <c r="D198" s="174" t="s">
        <v>16</v>
      </c>
      <c r="E198" s="207">
        <v>15050</v>
      </c>
      <c r="F198" s="208">
        <f>+E198*2.80865</f>
        <v>42270.182500000003</v>
      </c>
      <c r="G198" s="175">
        <f t="shared" si="9"/>
        <v>43025</v>
      </c>
      <c r="H198" s="173"/>
      <c r="I198" s="206"/>
      <c r="J198" s="175"/>
      <c r="K198" s="210">
        <v>15000</v>
      </c>
      <c r="L198" s="199"/>
      <c r="M198" s="211">
        <f t="shared" si="10"/>
        <v>50</v>
      </c>
    </row>
    <row r="199" spans="1:15" x14ac:dyDescent="0.2">
      <c r="A199" s="233" t="s">
        <v>180</v>
      </c>
      <c r="B199" s="200" t="s">
        <v>196</v>
      </c>
      <c r="C199" s="234">
        <v>42977</v>
      </c>
      <c r="D199" s="235" t="s">
        <v>16</v>
      </c>
      <c r="E199" s="236">
        <v>30250</v>
      </c>
      <c r="F199" s="201">
        <f>+E199*2.889</f>
        <v>87392.25</v>
      </c>
      <c r="G199" s="237">
        <f t="shared" si="9"/>
        <v>43037</v>
      </c>
      <c r="H199" s="238"/>
      <c r="I199" s="234"/>
      <c r="J199" s="237"/>
      <c r="K199" s="239">
        <f>23714.59-15000+12500</f>
        <v>21214.59</v>
      </c>
      <c r="L199" s="240"/>
      <c r="M199" s="241">
        <f t="shared" si="10"/>
        <v>9035.41</v>
      </c>
    </row>
    <row r="200" spans="1:15" hidden="1" x14ac:dyDescent="0.2">
      <c r="A200" s="204" t="s">
        <v>180</v>
      </c>
      <c r="B200" s="205" t="s">
        <v>197</v>
      </c>
      <c r="C200" s="206">
        <v>42985</v>
      </c>
      <c r="D200" s="174" t="s">
        <v>16</v>
      </c>
      <c r="E200" s="207">
        <v>7200</v>
      </c>
      <c r="F200" s="208">
        <f>E200*2.893</f>
        <v>20829.599999999999</v>
      </c>
      <c r="G200" s="175">
        <f t="shared" si="9"/>
        <v>43045</v>
      </c>
      <c r="H200" s="173"/>
      <c r="I200" s="206"/>
      <c r="J200" s="175"/>
      <c r="K200" s="210">
        <v>7200</v>
      </c>
      <c r="L200" s="199"/>
      <c r="M200" s="211">
        <f t="shared" si="10"/>
        <v>0</v>
      </c>
    </row>
    <row r="201" spans="1:15" x14ac:dyDescent="0.2">
      <c r="A201" s="233" t="s">
        <v>180</v>
      </c>
      <c r="B201" s="200" t="s">
        <v>198</v>
      </c>
      <c r="C201" s="234">
        <v>42992</v>
      </c>
      <c r="D201" s="235" t="s">
        <v>16</v>
      </c>
      <c r="E201" s="236">
        <v>34946.269999999997</v>
      </c>
      <c r="F201" s="201">
        <f>+E201*2.899</f>
        <v>101309.23672999999</v>
      </c>
      <c r="G201" s="237">
        <f t="shared" si="9"/>
        <v>43052</v>
      </c>
      <c r="H201" s="238"/>
      <c r="I201" s="234"/>
      <c r="J201" s="237"/>
      <c r="K201" s="239"/>
      <c r="L201" s="240"/>
      <c r="M201" s="241">
        <f t="shared" si="10"/>
        <v>34946.269999999997</v>
      </c>
    </row>
    <row r="202" spans="1:15" x14ac:dyDescent="0.2">
      <c r="A202" s="233" t="s">
        <v>180</v>
      </c>
      <c r="B202" s="200" t="s">
        <v>201</v>
      </c>
      <c r="C202" s="234">
        <v>43006</v>
      </c>
      <c r="D202" s="235" t="s">
        <v>16</v>
      </c>
      <c r="E202" s="236">
        <v>44550</v>
      </c>
      <c r="F202" s="201">
        <f>+E202*2.893</f>
        <v>128883.15</v>
      </c>
      <c r="G202" s="237">
        <f t="shared" si="9"/>
        <v>43066</v>
      </c>
      <c r="H202" s="238"/>
      <c r="I202" s="234"/>
      <c r="J202" s="237"/>
      <c r="K202" s="239"/>
      <c r="L202" s="240"/>
      <c r="M202" s="241">
        <f t="shared" si="10"/>
        <v>44550</v>
      </c>
    </row>
    <row r="203" spans="1:15" x14ac:dyDescent="0.2">
      <c r="A203" s="233" t="s">
        <v>180</v>
      </c>
      <c r="B203" s="200" t="s">
        <v>203</v>
      </c>
      <c r="C203" s="234">
        <v>43019</v>
      </c>
      <c r="D203" s="235" t="s">
        <v>16</v>
      </c>
      <c r="E203" s="236">
        <v>27337.5</v>
      </c>
      <c r="F203" s="201">
        <f>+E203*2.9093</f>
        <v>79532.988750000004</v>
      </c>
      <c r="G203" s="237">
        <f t="shared" si="9"/>
        <v>43079</v>
      </c>
      <c r="H203" s="238"/>
      <c r="I203" s="234"/>
      <c r="J203" s="237"/>
      <c r="K203" s="239"/>
      <c r="L203" s="240"/>
      <c r="M203" s="241">
        <f t="shared" si="10"/>
        <v>27337.5</v>
      </c>
    </row>
    <row r="204" spans="1:15" x14ac:dyDescent="0.2">
      <c r="A204" s="233" t="s">
        <v>180</v>
      </c>
      <c r="B204" s="200" t="s">
        <v>207</v>
      </c>
      <c r="C204" s="234">
        <v>43034</v>
      </c>
      <c r="D204" s="235" t="s">
        <v>16</v>
      </c>
      <c r="E204" s="236">
        <v>15386.35</v>
      </c>
      <c r="F204" s="201">
        <f>+E204*2.9096</f>
        <v>44768.123960000004</v>
      </c>
      <c r="G204" s="237">
        <f t="shared" si="9"/>
        <v>43094</v>
      </c>
      <c r="H204" s="238"/>
      <c r="I204" s="234"/>
      <c r="J204" s="237"/>
      <c r="K204" s="239"/>
      <c r="L204" s="240"/>
      <c r="M204" s="241">
        <f t="shared" si="10"/>
        <v>15386.35</v>
      </c>
    </row>
    <row r="205" spans="1:15" hidden="1" x14ac:dyDescent="0.2">
      <c r="A205" s="204" t="s">
        <v>180</v>
      </c>
      <c r="B205" s="205" t="s">
        <v>213</v>
      </c>
      <c r="C205" s="206">
        <v>43054</v>
      </c>
      <c r="D205" s="174" t="s">
        <v>16</v>
      </c>
      <c r="E205" s="207">
        <v>13053.6</v>
      </c>
      <c r="F205" s="208">
        <f>+E205*2.9226</f>
        <v>38150.451359999999</v>
      </c>
      <c r="G205" s="175">
        <f t="shared" si="9"/>
        <v>43114</v>
      </c>
      <c r="H205" s="173"/>
      <c r="I205" s="206"/>
      <c r="J205" s="175"/>
      <c r="K205" s="210">
        <v>13053.6</v>
      </c>
      <c r="L205" s="199"/>
      <c r="M205" s="211">
        <f t="shared" si="10"/>
        <v>0</v>
      </c>
    </row>
    <row r="206" spans="1:15" hidden="1" x14ac:dyDescent="0.2">
      <c r="A206" s="204" t="s">
        <v>15</v>
      </c>
      <c r="B206" s="205" t="s">
        <v>220</v>
      </c>
      <c r="C206" s="206">
        <v>43075</v>
      </c>
      <c r="D206" s="174" t="s">
        <v>16</v>
      </c>
      <c r="E206" s="207">
        <v>20473.650000000001</v>
      </c>
      <c r="F206" s="208">
        <f>+E206*2.9164</f>
        <v>59709.352859999999</v>
      </c>
      <c r="G206" s="175">
        <f t="shared" si="9"/>
        <v>43135</v>
      </c>
      <c r="H206" s="173"/>
      <c r="I206" s="206"/>
      <c r="J206" s="175"/>
      <c r="K206" s="210">
        <v>20423.650000000001</v>
      </c>
      <c r="L206" s="199"/>
      <c r="M206" s="211">
        <f t="shared" si="10"/>
        <v>50</v>
      </c>
      <c r="O206" s="302"/>
    </row>
    <row r="207" spans="1:15" hidden="1" x14ac:dyDescent="0.2">
      <c r="A207" s="204" t="s">
        <v>180</v>
      </c>
      <c r="B207" s="205" t="s">
        <v>221</v>
      </c>
      <c r="C207" s="206">
        <v>43075</v>
      </c>
      <c r="D207" s="174" t="s">
        <v>16</v>
      </c>
      <c r="E207" s="207">
        <v>21698.71</v>
      </c>
      <c r="F207" s="208">
        <f>+E207*2.9164</f>
        <v>63282.117843999993</v>
      </c>
      <c r="G207" s="175">
        <f t="shared" si="9"/>
        <v>43135</v>
      </c>
      <c r="H207" s="173"/>
      <c r="I207" s="206"/>
      <c r="J207" s="175"/>
      <c r="K207" s="210">
        <v>21642.81</v>
      </c>
      <c r="L207" s="175">
        <v>43098</v>
      </c>
      <c r="M207" s="211">
        <f t="shared" si="10"/>
        <v>55.899999999997817</v>
      </c>
      <c r="O207" s="302"/>
    </row>
    <row r="208" spans="1:15" hidden="1" x14ac:dyDescent="0.2">
      <c r="A208" s="204" t="s">
        <v>180</v>
      </c>
      <c r="B208" s="205" t="s">
        <v>225</v>
      </c>
      <c r="C208" s="206">
        <v>43084</v>
      </c>
      <c r="D208" s="174" t="s">
        <v>16</v>
      </c>
      <c r="E208" s="207">
        <v>10090</v>
      </c>
      <c r="F208" s="208">
        <f>+E208*2.9214</f>
        <v>29476.926000000003</v>
      </c>
      <c r="G208" s="175">
        <f t="shared" si="9"/>
        <v>43144</v>
      </c>
      <c r="H208" s="173"/>
      <c r="I208" s="206"/>
      <c r="J208" s="175"/>
      <c r="K208" s="210">
        <v>10047.5</v>
      </c>
      <c r="L208" s="199"/>
      <c r="M208" s="211">
        <f t="shared" si="10"/>
        <v>42.5</v>
      </c>
      <c r="O208" s="302"/>
    </row>
    <row r="209" spans="1:15" hidden="1" x14ac:dyDescent="0.2">
      <c r="A209" s="204" t="s">
        <v>180</v>
      </c>
      <c r="B209" s="205" t="s">
        <v>227</v>
      </c>
      <c r="C209" s="206">
        <v>43096</v>
      </c>
      <c r="D209" s="174" t="s">
        <v>16</v>
      </c>
      <c r="E209" s="207">
        <v>22074.959999999999</v>
      </c>
      <c r="F209" s="208">
        <f>+E209*2.9288</f>
        <v>64653.142847999996</v>
      </c>
      <c r="G209" s="175">
        <f t="shared" si="9"/>
        <v>43156</v>
      </c>
      <c r="H209" s="173"/>
      <c r="I209" s="206"/>
      <c r="J209" s="175"/>
      <c r="K209" s="210">
        <v>22018.31</v>
      </c>
      <c r="L209" s="199"/>
      <c r="M209" s="211">
        <f t="shared" si="10"/>
        <v>56.649999999997817</v>
      </c>
      <c r="O209" s="302"/>
    </row>
    <row r="210" spans="1:15" hidden="1" x14ac:dyDescent="0.2">
      <c r="A210" s="204" t="s">
        <v>180</v>
      </c>
      <c r="B210" s="205" t="s">
        <v>230</v>
      </c>
      <c r="C210" s="206">
        <v>43111</v>
      </c>
      <c r="D210" s="174" t="s">
        <v>16</v>
      </c>
      <c r="E210" s="207">
        <v>28798.14</v>
      </c>
      <c r="F210" s="208">
        <f>+E210*2.9312</f>
        <v>84413.107967999997</v>
      </c>
      <c r="G210" s="175">
        <f t="shared" si="9"/>
        <v>43171</v>
      </c>
      <c r="H210" s="173"/>
      <c r="I210" s="206"/>
      <c r="J210" s="175"/>
      <c r="K210" s="210">
        <v>28773.14</v>
      </c>
      <c r="L210" s="199"/>
      <c r="M210" s="211">
        <f t="shared" si="10"/>
        <v>25</v>
      </c>
      <c r="O210" s="302"/>
    </row>
    <row r="211" spans="1:15" hidden="1" x14ac:dyDescent="0.2">
      <c r="A211" s="204" t="s">
        <v>231</v>
      </c>
      <c r="B211" s="205" t="s">
        <v>232</v>
      </c>
      <c r="C211" s="206">
        <v>43124</v>
      </c>
      <c r="D211" s="174" t="s">
        <v>16</v>
      </c>
      <c r="E211" s="207">
        <v>30983.22</v>
      </c>
      <c r="F211" s="208">
        <f>+E211*2.9437</f>
        <v>91205.304714000013</v>
      </c>
      <c r="G211" s="175">
        <f t="shared" si="9"/>
        <v>43184</v>
      </c>
      <c r="H211" s="173"/>
      <c r="I211" s="206"/>
      <c r="J211" s="175"/>
      <c r="K211" s="210">
        <v>30983.22</v>
      </c>
      <c r="L211" s="199"/>
      <c r="M211" s="211">
        <f t="shared" si="10"/>
        <v>0</v>
      </c>
      <c r="O211" s="302"/>
    </row>
    <row r="212" spans="1:15" ht="13.5" thickBot="1" x14ac:dyDescent="0.25">
      <c r="A212" s="616"/>
      <c r="B212" s="617"/>
      <c r="C212" s="618"/>
      <c r="D212" s="619"/>
      <c r="E212" s="620"/>
      <c r="F212" s="621"/>
      <c r="G212" s="622"/>
      <c r="H212" s="623"/>
      <c r="I212" s="618"/>
      <c r="J212" s="622"/>
      <c r="K212" s="624"/>
      <c r="L212" s="625"/>
      <c r="M212" s="626"/>
    </row>
    <row r="213" spans="1:15" ht="13.5" thickBot="1" x14ac:dyDescent="0.25">
      <c r="G213" s="26"/>
    </row>
    <row r="214" spans="1:15" ht="13.5" thickBot="1" x14ac:dyDescent="0.25">
      <c r="B214" s="642" t="s">
        <v>47</v>
      </c>
      <c r="C214" s="643" t="s">
        <v>48</v>
      </c>
      <c r="D214" s="988" t="s">
        <v>9</v>
      </c>
      <c r="E214" s="989"/>
    </row>
    <row r="215" spans="1:15" x14ac:dyDescent="0.2">
      <c r="A215" s="644" t="s">
        <v>20</v>
      </c>
      <c r="B215" s="645"/>
      <c r="C215" s="646"/>
      <c r="D215" s="992"/>
      <c r="E215" s="993"/>
    </row>
    <row r="216" spans="1:15" x14ac:dyDescent="0.2">
      <c r="A216" s="647">
        <v>2019</v>
      </c>
      <c r="B216" s="648">
        <f>M147+M156+M185+M186+M188</f>
        <v>250113.24</v>
      </c>
      <c r="C216" s="649">
        <v>0</v>
      </c>
      <c r="D216" s="990">
        <v>0</v>
      </c>
      <c r="E216" s="991"/>
      <c r="G216" s="180"/>
    </row>
    <row r="217" spans="1:15" x14ac:dyDescent="0.2">
      <c r="A217" s="650" t="s">
        <v>15</v>
      </c>
      <c r="B217" s="648">
        <f>M101+M116+M153</f>
        <v>87192.22</v>
      </c>
      <c r="C217" s="649">
        <v>0</v>
      </c>
      <c r="D217" s="982"/>
      <c r="E217" s="983"/>
    </row>
    <row r="218" spans="1:15" x14ac:dyDescent="0.2">
      <c r="A218" s="650" t="s">
        <v>17</v>
      </c>
      <c r="B218" s="648">
        <f>M180+M183+M39</f>
        <v>53618.17</v>
      </c>
      <c r="C218" s="318">
        <f>+M30</f>
        <v>1211.8600000000006</v>
      </c>
      <c r="D218" s="982"/>
      <c r="E218" s="983"/>
    </row>
    <row r="219" spans="1:15" x14ac:dyDescent="0.2">
      <c r="A219" s="605" t="s">
        <v>231</v>
      </c>
      <c r="B219" s="613">
        <f>M122</f>
        <v>3120.6399999999994</v>
      </c>
      <c r="C219" s="610"/>
      <c r="D219" s="982"/>
      <c r="E219" s="983"/>
    </row>
    <row r="220" spans="1:15" x14ac:dyDescent="0.2">
      <c r="A220" s="605" t="s">
        <v>634</v>
      </c>
      <c r="B220" s="613">
        <v>0</v>
      </c>
      <c r="C220" s="610"/>
      <c r="D220" s="982"/>
      <c r="E220" s="983"/>
    </row>
    <row r="221" spans="1:15" x14ac:dyDescent="0.2">
      <c r="A221" s="605" t="s">
        <v>238</v>
      </c>
      <c r="B221" s="613">
        <f>M148+M150+M152+M154+M157+M160+M163+M169+M173+M178+M182+M184+M187</f>
        <v>278306.25</v>
      </c>
      <c r="C221" s="610"/>
      <c r="D221" s="982"/>
      <c r="E221" s="983"/>
    </row>
    <row r="222" spans="1:15" x14ac:dyDescent="0.2">
      <c r="A222" s="605" t="s">
        <v>629</v>
      </c>
      <c r="B222" s="613">
        <f>+M146</f>
        <v>27227.199999999997</v>
      </c>
      <c r="C222" s="610"/>
      <c r="D222" s="982"/>
      <c r="E222" s="983"/>
    </row>
    <row r="223" spans="1:15" x14ac:dyDescent="0.2">
      <c r="A223" s="605" t="s">
        <v>173</v>
      </c>
      <c r="B223" s="613">
        <f>M199+M200+M201+M202+M203+M204</f>
        <v>131255.53</v>
      </c>
      <c r="C223" s="610"/>
      <c r="D223" s="982"/>
      <c r="E223" s="983"/>
    </row>
    <row r="224" spans="1:15" x14ac:dyDescent="0.2">
      <c r="A224" s="605" t="s">
        <v>649</v>
      </c>
      <c r="B224" s="613">
        <f>M175+M176+M181</f>
        <v>118269.12000000001</v>
      </c>
      <c r="C224" s="610"/>
      <c r="D224" s="982"/>
      <c r="E224" s="983"/>
    </row>
    <row r="225" spans="1:13" ht="13.5" thickBot="1" x14ac:dyDescent="0.25">
      <c r="A225" s="616" t="s">
        <v>141</v>
      </c>
      <c r="B225" s="617"/>
      <c r="C225" s="620">
        <f>+M88</f>
        <v>60082</v>
      </c>
      <c r="D225" s="984"/>
      <c r="E225" s="985"/>
    </row>
    <row r="226" spans="1:13" ht="13.5" thickBot="1" x14ac:dyDescent="0.25">
      <c r="B226" s="651">
        <f>SUM(B215:B225)</f>
        <v>949102.37</v>
      </c>
      <c r="C226" s="443">
        <f>SUM(C215:C225)</f>
        <v>61293.86</v>
      </c>
      <c r="D226" s="986">
        <f>SUM(D215:D225)</f>
        <v>0</v>
      </c>
      <c r="E226" s="987"/>
    </row>
    <row r="228" spans="1:13" x14ac:dyDescent="0.2">
      <c r="B228" s="187"/>
      <c r="C228" s="187"/>
    </row>
    <row r="229" spans="1:13" x14ac:dyDescent="0.2">
      <c r="B229" s="180"/>
    </row>
    <row r="231" spans="1:13" x14ac:dyDescent="0.2">
      <c r="G231" s="26"/>
    </row>
    <row r="232" spans="1:13" x14ac:dyDescent="0.2">
      <c r="G232" s="26"/>
    </row>
    <row r="233" spans="1:13" x14ac:dyDescent="0.2">
      <c r="G233" s="641"/>
    </row>
    <row r="234" spans="1:13" x14ac:dyDescent="0.2">
      <c r="M234" s="359"/>
    </row>
  </sheetData>
  <autoFilter ref="A1:A226" xr:uid="{00000000-0009-0000-0000-000009000000}"/>
  <mergeCells count="28">
    <mergeCell ref="A191:A192"/>
    <mergeCell ref="B191:G191"/>
    <mergeCell ref="H191:J191"/>
    <mergeCell ref="K191:L191"/>
    <mergeCell ref="M191:M192"/>
    <mergeCell ref="A2:A3"/>
    <mergeCell ref="B2:G2"/>
    <mergeCell ref="H2:J2"/>
    <mergeCell ref="K2:L2"/>
    <mergeCell ref="M2:M3"/>
    <mergeCell ref="A37:A38"/>
    <mergeCell ref="B37:G37"/>
    <mergeCell ref="H37:J37"/>
    <mergeCell ref="K37:L37"/>
    <mergeCell ref="M37:M38"/>
    <mergeCell ref="D218:E218"/>
    <mergeCell ref="D225:E225"/>
    <mergeCell ref="D226:E226"/>
    <mergeCell ref="D214:E214"/>
    <mergeCell ref="D216:E216"/>
    <mergeCell ref="D215:E215"/>
    <mergeCell ref="D217:E217"/>
    <mergeCell ref="D223:E223"/>
    <mergeCell ref="D219:E219"/>
    <mergeCell ref="D221:E221"/>
    <mergeCell ref="D220:E220"/>
    <mergeCell ref="D222:E222"/>
    <mergeCell ref="D224:E224"/>
  </mergeCells>
  <pageMargins left="0.70866141732283472" right="0.70866141732283472" top="0.74803149606299213" bottom="0.74803149606299213" header="0.31496062992125984" footer="0.31496062992125984"/>
  <pageSetup paperSize="9" scale="94" orientation="landscape" horizontalDpi="180" verticalDpi="180" r:id="rId1"/>
  <ignoredErrors>
    <ignoredError sqref="F48 G52 G77 G80:G82 G84 G91 G94:G96 G19 F27:G27 G29 M123 F169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P111"/>
  <sheetViews>
    <sheetView topLeftCell="A44" workbookViewId="0">
      <selection activeCell="K18" sqref="K18"/>
    </sheetView>
  </sheetViews>
  <sheetFormatPr baseColWidth="10" defaultRowHeight="12.75" x14ac:dyDescent="0.2"/>
  <cols>
    <col min="1" max="1" width="10.140625" style="15" bestFit="1" customWidth="1"/>
    <col min="2" max="2" width="17" style="15" bestFit="1" customWidth="1"/>
    <col min="3" max="3" width="3.5703125" style="15" bestFit="1" customWidth="1"/>
    <col min="4" max="4" width="10.140625" style="15" bestFit="1" customWidth="1"/>
    <col min="5" max="5" width="11" style="15" bestFit="1" customWidth="1"/>
    <col min="6" max="8" width="12.28515625" style="15" bestFit="1" customWidth="1"/>
    <col min="9" max="10" width="11.42578125" style="15"/>
    <col min="11" max="11" width="7.42578125" style="15" bestFit="1" customWidth="1"/>
    <col min="12" max="12" width="11.42578125" style="15"/>
    <col min="13" max="13" width="11.42578125" style="503"/>
    <col min="14" max="14" width="11.42578125" style="15"/>
    <col min="15" max="15" width="11.42578125" style="187"/>
    <col min="16" max="16384" width="11.42578125" style="15"/>
  </cols>
  <sheetData>
    <row r="1" spans="1:16" x14ac:dyDescent="0.2">
      <c r="A1" s="914" t="s">
        <v>637</v>
      </c>
      <c r="B1" s="914"/>
      <c r="C1" s="914"/>
      <c r="D1" s="914"/>
      <c r="E1" s="914"/>
      <c r="F1" s="914"/>
      <c r="G1" s="914"/>
      <c r="H1" s="914"/>
    </row>
    <row r="2" spans="1:16" ht="13.5" thickBot="1" x14ac:dyDescent="0.25">
      <c r="A2" s="250"/>
      <c r="C2" s="263"/>
      <c r="D2" s="180"/>
      <c r="E2" s="187"/>
      <c r="F2" s="187"/>
      <c r="G2" s="187"/>
      <c r="H2" s="187"/>
    </row>
    <row r="3" spans="1:16" x14ac:dyDescent="0.2">
      <c r="A3" s="915" t="s">
        <v>243</v>
      </c>
      <c r="B3" s="916"/>
      <c r="C3" s="314" t="s">
        <v>167</v>
      </c>
      <c r="D3" s="917">
        <f>404820++D13+D14+D15</f>
        <v>491440</v>
      </c>
      <c r="E3" s="918"/>
      <c r="F3" s="231">
        <f>582489+F13+F14+F15</f>
        <v>708088</v>
      </c>
      <c r="G3" s="231">
        <f>110672.91++G13+G14+G15</f>
        <v>134536.72</v>
      </c>
      <c r="H3" s="315">
        <f>+F3+G3</f>
        <v>842624.72</v>
      </c>
    </row>
    <row r="4" spans="1:16" x14ac:dyDescent="0.2">
      <c r="A4" s="904" t="s">
        <v>244</v>
      </c>
      <c r="B4" s="905"/>
      <c r="C4" s="316" t="s">
        <v>167</v>
      </c>
      <c r="D4" s="906">
        <f>564700+D16+D17+D18</f>
        <v>688560</v>
      </c>
      <c r="E4" s="907"/>
      <c r="F4" s="189">
        <f>936092+F16+F17+F18</f>
        <v>1156979</v>
      </c>
      <c r="G4" s="189">
        <f>177857.48+G16+G17+G18</f>
        <v>219826.01</v>
      </c>
      <c r="H4" s="317">
        <f>+F4+G4</f>
        <v>1376805.01</v>
      </c>
    </row>
    <row r="5" spans="1:16" x14ac:dyDescent="0.2">
      <c r="A5" s="904" t="s">
        <v>245</v>
      </c>
      <c r="B5" s="905"/>
      <c r="C5" s="316" t="s">
        <v>167</v>
      </c>
      <c r="D5" s="906">
        <f>30689+D19+D20</f>
        <v>38647</v>
      </c>
      <c r="E5" s="907"/>
      <c r="F5" s="189">
        <f>1012737+F19+F20</f>
        <v>1275351</v>
      </c>
      <c r="G5" s="189">
        <f>192420.03+G19+G20</f>
        <v>242316.68999999997</v>
      </c>
      <c r="H5" s="317">
        <f>+F5+G5</f>
        <v>1517667.69</v>
      </c>
    </row>
    <row r="6" spans="1:16" x14ac:dyDescent="0.2">
      <c r="A6" s="940" t="s">
        <v>262</v>
      </c>
      <c r="B6" s="941"/>
      <c r="C6" s="316" t="s">
        <v>167</v>
      </c>
      <c r="D6" s="906">
        <v>1109</v>
      </c>
      <c r="E6" s="907"/>
      <c r="F6" s="189">
        <v>3327</v>
      </c>
      <c r="G6" s="189">
        <v>632.13</v>
      </c>
      <c r="H6" s="317">
        <f>+F6+G6</f>
        <v>3959.13</v>
      </c>
    </row>
    <row r="7" spans="1:16" x14ac:dyDescent="0.2">
      <c r="A7" s="904" t="s">
        <v>246</v>
      </c>
      <c r="B7" s="905"/>
      <c r="C7" s="316" t="s">
        <v>167</v>
      </c>
      <c r="D7" s="906">
        <f>396546-28416-50505+Feuil3!K3+Feuil3!K26+D41+D42+D43+D44+D45+D46+D47+D48+D49+D50+D51+D52+D53+D54+D55+D56+D57+D58+D59+D60+D61+D62+D63</f>
        <v>475797.39999999997</v>
      </c>
      <c r="E7" s="907"/>
      <c r="F7" s="189">
        <f>1390639.9+Feuil3!M3+Feuil3!M26+F41+F42+F43+F44+F45+F46+F47+F48+F49+F50+F51+F52+F53+F54+F55+F56+F57+F58+F59+F60+F61+F62+F63</f>
        <v>2093038.1</v>
      </c>
      <c r="G7" s="189">
        <f>264221.581++G21+G22+G23+G24+G25+G26+G27+G28+G29+G30+G31+G32+G33+G34+G35+G36+G37+G38+G39+G40+G41+G42+G43+G44+G45+G46+G47+G48+G49+G50+G51+G52+G53+G54+G55+G56+G57+G58+G59+G60+G61+G62+G63</f>
        <v>397677.239</v>
      </c>
      <c r="H7" s="317">
        <f>+F7+G7</f>
        <v>2490715.3390000002</v>
      </c>
    </row>
    <row r="8" spans="1:16" x14ac:dyDescent="0.2">
      <c r="A8" s="908" t="s">
        <v>76</v>
      </c>
      <c r="B8" s="909"/>
      <c r="C8" s="909"/>
      <c r="D8" s="909"/>
      <c r="E8" s="909"/>
      <c r="F8" s="318">
        <f>SUM(F3:F7)</f>
        <v>5236783.0999999996</v>
      </c>
      <c r="G8" s="318">
        <f>SUM(G3:G7)</f>
        <v>994988.78899999987</v>
      </c>
      <c r="H8" s="319">
        <f>SUM(H3:H7)</f>
        <v>6231771.8890000004</v>
      </c>
      <c r="K8" s="187"/>
    </row>
    <row r="9" spans="1:16" x14ac:dyDescent="0.2">
      <c r="A9" s="910" t="s">
        <v>247</v>
      </c>
      <c r="B9" s="911"/>
      <c r="C9" s="911"/>
      <c r="D9" s="911"/>
      <c r="E9" s="911"/>
      <c r="F9" s="911"/>
      <c r="G9" s="911"/>
      <c r="H9" s="319">
        <f>4250509.889+100000+104471.601+200000+200000+200000+100000+200000+200000+280000</f>
        <v>5834981.4900000002</v>
      </c>
      <c r="K9" s="187"/>
    </row>
    <row r="10" spans="1:16" ht="13.5" thickBot="1" x14ac:dyDescent="0.25">
      <c r="A10" s="912" t="s">
        <v>248</v>
      </c>
      <c r="B10" s="913"/>
      <c r="C10" s="913"/>
      <c r="D10" s="913"/>
      <c r="E10" s="913"/>
      <c r="F10" s="913"/>
      <c r="G10" s="913"/>
      <c r="H10" s="320">
        <f>+H8-H9</f>
        <v>396790.39900000021</v>
      </c>
      <c r="J10" s="187"/>
    </row>
    <row r="11" spans="1:16" ht="13.5" thickBot="1" x14ac:dyDescent="0.25">
      <c r="A11" s="250"/>
      <c r="C11" s="263"/>
      <c r="D11" s="180"/>
      <c r="E11" s="187"/>
      <c r="F11" s="187"/>
      <c r="G11" s="187"/>
      <c r="H11" s="187"/>
    </row>
    <row r="12" spans="1:16" x14ac:dyDescent="0.2">
      <c r="A12" s="999" t="s">
        <v>249</v>
      </c>
      <c r="B12" s="1000"/>
      <c r="C12" s="1000"/>
      <c r="D12" s="1000"/>
      <c r="E12" s="1000"/>
      <c r="F12" s="1000"/>
      <c r="G12" s="1000"/>
      <c r="H12" s="1001"/>
    </row>
    <row r="13" spans="1:16" s="266" customFormat="1" hidden="1" x14ac:dyDescent="0.25">
      <c r="A13" s="547">
        <v>43433</v>
      </c>
      <c r="B13" s="266" t="s">
        <v>597</v>
      </c>
      <c r="C13" s="270" t="s">
        <v>167</v>
      </c>
      <c r="D13" s="271">
        <v>27880</v>
      </c>
      <c r="E13" s="272">
        <v>1.45</v>
      </c>
      <c r="F13" s="272">
        <f t="shared" ref="F13:F44" si="0">+D13*E13</f>
        <v>40426</v>
      </c>
      <c r="G13" s="272">
        <f t="shared" ref="G13:G44" si="1">+F13*0.19</f>
        <v>7680.9400000000005</v>
      </c>
      <c r="H13" s="367">
        <f t="shared" ref="H13:H44" si="2">+F13+G13</f>
        <v>48106.94</v>
      </c>
      <c r="J13" s="432"/>
      <c r="K13" s="270"/>
      <c r="L13" s="272"/>
      <c r="M13" s="504"/>
      <c r="N13" s="267"/>
      <c r="O13" s="539"/>
      <c r="P13" s="267"/>
    </row>
    <row r="14" spans="1:16" s="266" customFormat="1" x14ac:dyDescent="0.25">
      <c r="A14" s="556">
        <v>43482</v>
      </c>
      <c r="B14" s="450" t="s">
        <v>597</v>
      </c>
      <c r="C14" s="557" t="s">
        <v>167</v>
      </c>
      <c r="D14" s="558">
        <v>31720</v>
      </c>
      <c r="E14" s="559">
        <v>1.45</v>
      </c>
      <c r="F14" s="559">
        <f t="shared" si="0"/>
        <v>45994</v>
      </c>
      <c r="G14" s="559">
        <f t="shared" si="1"/>
        <v>8738.86</v>
      </c>
      <c r="H14" s="560">
        <f t="shared" si="2"/>
        <v>54732.86</v>
      </c>
      <c r="J14" s="432"/>
      <c r="K14" s="270"/>
      <c r="L14" s="272"/>
      <c r="M14" s="504"/>
      <c r="N14" s="267"/>
      <c r="O14" s="539"/>
      <c r="P14" s="267"/>
    </row>
    <row r="15" spans="1:16" s="266" customFormat="1" x14ac:dyDescent="0.25">
      <c r="A15" s="556">
        <v>43524</v>
      </c>
      <c r="B15" s="450" t="s">
        <v>597</v>
      </c>
      <c r="C15" s="557" t="s">
        <v>167</v>
      </c>
      <c r="D15" s="558">
        <v>27020</v>
      </c>
      <c r="E15" s="559">
        <v>1.45</v>
      </c>
      <c r="F15" s="559">
        <f t="shared" si="0"/>
        <v>39179</v>
      </c>
      <c r="G15" s="559">
        <f t="shared" si="1"/>
        <v>7444.01</v>
      </c>
      <c r="H15" s="560">
        <f t="shared" si="2"/>
        <v>46623.01</v>
      </c>
      <c r="J15" s="432"/>
      <c r="K15" s="270"/>
      <c r="L15" s="272"/>
      <c r="M15" s="504"/>
      <c r="N15" s="267"/>
      <c r="O15" s="539"/>
      <c r="P15" s="267"/>
    </row>
    <row r="16" spans="1:16" s="266" customFormat="1" hidden="1" x14ac:dyDescent="0.25">
      <c r="A16" s="547">
        <v>43418</v>
      </c>
      <c r="B16" s="266" t="s">
        <v>174</v>
      </c>
      <c r="C16" s="270" t="s">
        <v>167</v>
      </c>
      <c r="D16" s="271">
        <v>41220</v>
      </c>
      <c r="E16" s="272">
        <v>1.75</v>
      </c>
      <c r="F16" s="272">
        <f t="shared" si="0"/>
        <v>72135</v>
      </c>
      <c r="G16" s="272">
        <f t="shared" si="1"/>
        <v>13705.65</v>
      </c>
      <c r="H16" s="367">
        <f t="shared" si="2"/>
        <v>85840.65</v>
      </c>
      <c r="J16" s="432"/>
      <c r="K16" s="270"/>
      <c r="L16" s="272"/>
      <c r="M16" s="505"/>
      <c r="N16" s="267"/>
      <c r="O16" s="539"/>
      <c r="P16" s="267"/>
    </row>
    <row r="17" spans="1:16" s="266" customFormat="1" x14ac:dyDescent="0.25">
      <c r="A17" s="556">
        <v>43468</v>
      </c>
      <c r="B17" s="450" t="s">
        <v>174</v>
      </c>
      <c r="C17" s="557" t="s">
        <v>167</v>
      </c>
      <c r="D17" s="558">
        <v>40420</v>
      </c>
      <c r="E17" s="559">
        <v>1.8</v>
      </c>
      <c r="F17" s="559">
        <f t="shared" si="0"/>
        <v>72756</v>
      </c>
      <c r="G17" s="559">
        <f t="shared" si="1"/>
        <v>13823.64</v>
      </c>
      <c r="H17" s="560">
        <f t="shared" si="2"/>
        <v>86579.64</v>
      </c>
      <c r="J17" s="432"/>
      <c r="K17" s="270"/>
      <c r="L17" s="272"/>
      <c r="M17" s="504"/>
      <c r="N17" s="267"/>
      <c r="O17" s="539"/>
      <c r="P17" s="267"/>
    </row>
    <row r="18" spans="1:16" s="266" customFormat="1" x14ac:dyDescent="0.25">
      <c r="A18" s="556">
        <v>43483</v>
      </c>
      <c r="B18" s="450" t="s">
        <v>174</v>
      </c>
      <c r="C18" s="557" t="s">
        <v>167</v>
      </c>
      <c r="D18" s="558">
        <v>42220</v>
      </c>
      <c r="E18" s="559">
        <v>1.8</v>
      </c>
      <c r="F18" s="559">
        <f t="shared" si="0"/>
        <v>75996</v>
      </c>
      <c r="G18" s="559">
        <f t="shared" si="1"/>
        <v>14439.24</v>
      </c>
      <c r="H18" s="560">
        <f t="shared" si="2"/>
        <v>90435.24</v>
      </c>
      <c r="J18" s="432"/>
      <c r="K18" s="270"/>
      <c r="L18" s="272"/>
      <c r="M18" s="504"/>
      <c r="N18" s="267"/>
      <c r="O18" s="539"/>
      <c r="P18" s="267"/>
    </row>
    <row r="19" spans="1:16" s="266" customFormat="1" hidden="1" x14ac:dyDescent="0.25">
      <c r="A19" s="547">
        <v>43420</v>
      </c>
      <c r="B19" s="266" t="s">
        <v>590</v>
      </c>
      <c r="C19" s="270" t="s">
        <v>167</v>
      </c>
      <c r="D19" s="271">
        <v>2857</v>
      </c>
      <c r="E19" s="272">
        <v>33</v>
      </c>
      <c r="F19" s="272">
        <f t="shared" si="0"/>
        <v>94281</v>
      </c>
      <c r="G19" s="272">
        <f t="shared" si="1"/>
        <v>17913.39</v>
      </c>
      <c r="H19" s="367">
        <f t="shared" si="2"/>
        <v>112194.39</v>
      </c>
      <c r="J19" s="432"/>
      <c r="K19" s="270"/>
      <c r="L19" s="272"/>
      <c r="M19" s="504"/>
      <c r="N19" s="267"/>
      <c r="O19" s="539"/>
      <c r="P19" s="267"/>
    </row>
    <row r="20" spans="1:16" s="266" customFormat="1" x14ac:dyDescent="0.2">
      <c r="A20" s="561">
        <v>43459</v>
      </c>
      <c r="B20" s="562" t="s">
        <v>590</v>
      </c>
      <c r="C20" s="563" t="s">
        <v>167</v>
      </c>
      <c r="D20" s="198">
        <v>5101</v>
      </c>
      <c r="E20" s="449">
        <v>33</v>
      </c>
      <c r="F20" s="449">
        <f t="shared" si="0"/>
        <v>168333</v>
      </c>
      <c r="G20" s="449">
        <f t="shared" si="1"/>
        <v>31983.27</v>
      </c>
      <c r="H20" s="564">
        <f t="shared" si="2"/>
        <v>200316.27</v>
      </c>
      <c r="J20" s="432"/>
      <c r="K20" s="270"/>
      <c r="L20" s="272"/>
      <c r="M20" s="504"/>
      <c r="N20" s="267"/>
      <c r="O20" s="539"/>
      <c r="P20" s="267"/>
    </row>
    <row r="21" spans="1:16" s="266" customFormat="1" hidden="1" x14ac:dyDescent="0.25">
      <c r="A21" s="547">
        <v>43405</v>
      </c>
      <c r="B21" s="266" t="s">
        <v>266</v>
      </c>
      <c r="C21" s="270" t="s">
        <v>167</v>
      </c>
      <c r="D21" s="271">
        <v>11270</v>
      </c>
      <c r="E21" s="272">
        <v>4.3</v>
      </c>
      <c r="F21" s="272">
        <f t="shared" si="0"/>
        <v>48461</v>
      </c>
      <c r="G21" s="272">
        <f t="shared" si="1"/>
        <v>9207.59</v>
      </c>
      <c r="H21" s="367">
        <f t="shared" si="2"/>
        <v>57668.59</v>
      </c>
      <c r="J21" s="432"/>
      <c r="K21" s="270"/>
      <c r="L21" s="272"/>
      <c r="M21" s="504"/>
      <c r="N21" s="267"/>
      <c r="O21" s="539"/>
      <c r="P21" s="267"/>
    </row>
    <row r="22" spans="1:16" s="266" customFormat="1" hidden="1" x14ac:dyDescent="0.25">
      <c r="A22" s="547">
        <v>43409</v>
      </c>
      <c r="B22" s="266" t="s">
        <v>266</v>
      </c>
      <c r="C22" s="270" t="s">
        <v>167</v>
      </c>
      <c r="D22" s="271">
        <v>6205</v>
      </c>
      <c r="E22" s="272">
        <v>4.3</v>
      </c>
      <c r="F22" s="272">
        <f t="shared" si="0"/>
        <v>26681.5</v>
      </c>
      <c r="G22" s="272">
        <f t="shared" si="1"/>
        <v>5069.4849999999997</v>
      </c>
      <c r="H22" s="367">
        <f t="shared" si="2"/>
        <v>31750.985000000001</v>
      </c>
      <c r="J22" s="432"/>
      <c r="K22" s="270"/>
      <c r="L22" s="272"/>
      <c r="M22" s="504"/>
      <c r="N22" s="267"/>
      <c r="O22" s="539"/>
      <c r="P22" s="267"/>
    </row>
    <row r="23" spans="1:16" s="266" customFormat="1" hidden="1" x14ac:dyDescent="0.25">
      <c r="A23" s="547">
        <v>43412</v>
      </c>
      <c r="B23" s="266" t="s">
        <v>266</v>
      </c>
      <c r="C23" s="270" t="s">
        <v>167</v>
      </c>
      <c r="D23" s="271">
        <v>1414</v>
      </c>
      <c r="E23" s="272">
        <v>4.3</v>
      </c>
      <c r="F23" s="272">
        <f t="shared" si="0"/>
        <v>6080.2</v>
      </c>
      <c r="G23" s="272">
        <f t="shared" si="1"/>
        <v>1155.2380000000001</v>
      </c>
      <c r="H23" s="367">
        <f t="shared" si="2"/>
        <v>7235.4380000000001</v>
      </c>
      <c r="J23" s="432"/>
      <c r="K23" s="270"/>
      <c r="L23" s="272"/>
      <c r="M23" s="504"/>
      <c r="N23" s="267"/>
      <c r="O23" s="539"/>
      <c r="P23" s="267"/>
    </row>
    <row r="24" spans="1:16" s="266" customFormat="1" hidden="1" x14ac:dyDescent="0.25">
      <c r="A24" s="547">
        <v>43416</v>
      </c>
      <c r="B24" s="266" t="s">
        <v>266</v>
      </c>
      <c r="C24" s="270" t="s">
        <v>167</v>
      </c>
      <c r="D24" s="271">
        <v>1454</v>
      </c>
      <c r="E24" s="272">
        <v>4.3</v>
      </c>
      <c r="F24" s="272">
        <f t="shared" si="0"/>
        <v>6252.2</v>
      </c>
      <c r="G24" s="272">
        <f t="shared" si="1"/>
        <v>1187.9179999999999</v>
      </c>
      <c r="H24" s="367">
        <f t="shared" si="2"/>
        <v>7440.1179999999995</v>
      </c>
      <c r="J24" s="432"/>
      <c r="K24" s="270"/>
      <c r="L24" s="272"/>
      <c r="M24" s="504"/>
      <c r="N24" s="267"/>
      <c r="O24" s="539"/>
      <c r="P24" s="267"/>
    </row>
    <row r="25" spans="1:16" s="266" customFormat="1" hidden="1" x14ac:dyDescent="0.25">
      <c r="A25" s="547">
        <v>43419</v>
      </c>
      <c r="B25" s="266" t="s">
        <v>266</v>
      </c>
      <c r="C25" s="270" t="s">
        <v>167</v>
      </c>
      <c r="D25" s="271">
        <v>3998</v>
      </c>
      <c r="E25" s="272">
        <v>4.3</v>
      </c>
      <c r="F25" s="272">
        <f t="shared" si="0"/>
        <v>17191.399999999998</v>
      </c>
      <c r="G25" s="272">
        <f t="shared" si="1"/>
        <v>3266.3659999999995</v>
      </c>
      <c r="H25" s="367">
        <f t="shared" si="2"/>
        <v>20457.765999999996</v>
      </c>
      <c r="J25" s="432"/>
      <c r="K25" s="270"/>
      <c r="L25" s="272"/>
      <c r="M25" s="504"/>
      <c r="N25" s="267"/>
      <c r="O25" s="539"/>
      <c r="P25" s="267"/>
    </row>
    <row r="26" spans="1:16" s="266" customFormat="1" hidden="1" x14ac:dyDescent="0.25">
      <c r="A26" s="547">
        <v>43420</v>
      </c>
      <c r="B26" s="266" t="s">
        <v>266</v>
      </c>
      <c r="C26" s="270" t="s">
        <v>167</v>
      </c>
      <c r="D26" s="271">
        <v>7286</v>
      </c>
      <c r="E26" s="272">
        <v>4.3</v>
      </c>
      <c r="F26" s="272">
        <f t="shared" si="0"/>
        <v>31329.8</v>
      </c>
      <c r="G26" s="272">
        <f t="shared" si="1"/>
        <v>5952.6620000000003</v>
      </c>
      <c r="H26" s="367">
        <f t="shared" si="2"/>
        <v>37282.462</v>
      </c>
      <c r="J26" s="432"/>
      <c r="K26" s="270"/>
      <c r="L26" s="272"/>
      <c r="M26" s="504"/>
      <c r="N26" s="267"/>
      <c r="O26" s="539"/>
      <c r="P26" s="267"/>
    </row>
    <row r="27" spans="1:16" s="266" customFormat="1" hidden="1" x14ac:dyDescent="0.25">
      <c r="A27" s="547">
        <v>43423</v>
      </c>
      <c r="B27" s="266" t="s">
        <v>266</v>
      </c>
      <c r="C27" s="270" t="s">
        <v>167</v>
      </c>
      <c r="D27" s="271">
        <v>4510</v>
      </c>
      <c r="E27" s="272">
        <v>4.3</v>
      </c>
      <c r="F27" s="272">
        <f t="shared" si="0"/>
        <v>19393</v>
      </c>
      <c r="G27" s="272">
        <f t="shared" si="1"/>
        <v>3684.67</v>
      </c>
      <c r="H27" s="367">
        <f t="shared" si="2"/>
        <v>23077.67</v>
      </c>
      <c r="J27" s="432"/>
      <c r="K27" s="270"/>
      <c r="L27" s="272"/>
      <c r="M27" s="504"/>
      <c r="N27" s="267"/>
      <c r="O27" s="539"/>
      <c r="P27" s="267"/>
    </row>
    <row r="28" spans="1:16" s="266" customFormat="1" hidden="1" x14ac:dyDescent="0.25">
      <c r="A28" s="547">
        <v>43427</v>
      </c>
      <c r="B28" s="266" t="s">
        <v>266</v>
      </c>
      <c r="C28" s="270" t="s">
        <v>167</v>
      </c>
      <c r="D28" s="271">
        <v>1929</v>
      </c>
      <c r="E28" s="272">
        <v>4.3</v>
      </c>
      <c r="F28" s="272">
        <f t="shared" si="0"/>
        <v>8294.6999999999989</v>
      </c>
      <c r="G28" s="272">
        <f t="shared" si="1"/>
        <v>1575.9929999999997</v>
      </c>
      <c r="H28" s="367">
        <f t="shared" si="2"/>
        <v>9870.6929999999993</v>
      </c>
      <c r="J28" s="432"/>
      <c r="K28" s="270"/>
      <c r="L28" s="272"/>
      <c r="M28" s="504"/>
      <c r="N28" s="267"/>
      <c r="O28" s="539"/>
      <c r="P28" s="267"/>
    </row>
    <row r="29" spans="1:16" s="266" customFormat="1" hidden="1" x14ac:dyDescent="0.25">
      <c r="A29" s="547">
        <v>43430</v>
      </c>
      <c r="B29" s="266" t="s">
        <v>266</v>
      </c>
      <c r="C29" s="270" t="s">
        <v>167</v>
      </c>
      <c r="D29" s="271">
        <v>3913</v>
      </c>
      <c r="E29" s="272">
        <v>4.3</v>
      </c>
      <c r="F29" s="272">
        <f t="shared" si="0"/>
        <v>16825.899999999998</v>
      </c>
      <c r="G29" s="272">
        <f t="shared" si="1"/>
        <v>3196.9209999999998</v>
      </c>
      <c r="H29" s="367">
        <f t="shared" si="2"/>
        <v>20022.820999999996</v>
      </c>
      <c r="J29" s="432"/>
      <c r="K29" s="270"/>
      <c r="L29" s="272"/>
      <c r="M29" s="504"/>
      <c r="N29" s="267"/>
      <c r="O29" s="539"/>
      <c r="P29" s="267"/>
    </row>
    <row r="30" spans="1:16" s="266" customFormat="1" hidden="1" x14ac:dyDescent="0.25">
      <c r="A30" s="547">
        <v>43431</v>
      </c>
      <c r="B30" s="266" t="s">
        <v>266</v>
      </c>
      <c r="C30" s="270" t="s">
        <v>167</v>
      </c>
      <c r="D30" s="271">
        <v>2297</v>
      </c>
      <c r="E30" s="272">
        <v>4.3</v>
      </c>
      <c r="F30" s="272">
        <f t="shared" si="0"/>
        <v>9877.1</v>
      </c>
      <c r="G30" s="272">
        <f t="shared" si="1"/>
        <v>1876.6490000000001</v>
      </c>
      <c r="H30" s="367">
        <f t="shared" si="2"/>
        <v>11753.749</v>
      </c>
      <c r="J30" s="432"/>
      <c r="K30" s="270"/>
      <c r="L30" s="272"/>
      <c r="M30" s="504"/>
      <c r="N30" s="267"/>
      <c r="O30" s="539"/>
      <c r="P30" s="267"/>
    </row>
    <row r="31" spans="1:16" s="266" customFormat="1" hidden="1" x14ac:dyDescent="0.25">
      <c r="A31" s="547">
        <v>43432</v>
      </c>
      <c r="B31" s="266" t="s">
        <v>266</v>
      </c>
      <c r="C31" s="270" t="s">
        <v>167</v>
      </c>
      <c r="D31" s="271">
        <f>2255+2296</f>
        <v>4551</v>
      </c>
      <c r="E31" s="272">
        <v>4.3</v>
      </c>
      <c r="F31" s="272">
        <f t="shared" si="0"/>
        <v>19569.3</v>
      </c>
      <c r="G31" s="272">
        <f t="shared" si="1"/>
        <v>3718.1669999999999</v>
      </c>
      <c r="H31" s="367">
        <f t="shared" si="2"/>
        <v>23287.467000000001</v>
      </c>
      <c r="J31" s="432"/>
      <c r="K31" s="270"/>
      <c r="L31" s="272"/>
      <c r="M31" s="504"/>
      <c r="N31" s="267"/>
      <c r="O31" s="539"/>
      <c r="P31" s="267"/>
    </row>
    <row r="32" spans="1:16" s="266" customFormat="1" hidden="1" x14ac:dyDescent="0.25">
      <c r="A32" s="547">
        <v>43433</v>
      </c>
      <c r="B32" s="266" t="s">
        <v>266</v>
      </c>
      <c r="C32" s="270" t="s">
        <v>167</v>
      </c>
      <c r="D32" s="271">
        <v>1678</v>
      </c>
      <c r="E32" s="272">
        <v>4.3</v>
      </c>
      <c r="F32" s="272">
        <f t="shared" si="0"/>
        <v>7215.4</v>
      </c>
      <c r="G32" s="272">
        <f t="shared" si="1"/>
        <v>1370.9259999999999</v>
      </c>
      <c r="H32" s="367">
        <f t="shared" si="2"/>
        <v>8586.3259999999991</v>
      </c>
      <c r="J32" s="432"/>
      <c r="K32" s="270"/>
      <c r="L32" s="272"/>
      <c r="M32" s="504"/>
      <c r="N32" s="267"/>
      <c r="O32" s="539"/>
      <c r="P32" s="267"/>
    </row>
    <row r="33" spans="1:16" s="266" customFormat="1" hidden="1" x14ac:dyDescent="0.25">
      <c r="A33" s="547">
        <v>43435</v>
      </c>
      <c r="B33" s="266" t="s">
        <v>266</v>
      </c>
      <c r="C33" s="270" t="s">
        <v>167</v>
      </c>
      <c r="D33" s="271">
        <v>1996</v>
      </c>
      <c r="E33" s="272">
        <v>4.3</v>
      </c>
      <c r="F33" s="272">
        <f t="shared" si="0"/>
        <v>8582.7999999999993</v>
      </c>
      <c r="G33" s="272">
        <f t="shared" si="1"/>
        <v>1630.732</v>
      </c>
      <c r="H33" s="367">
        <f t="shared" si="2"/>
        <v>10213.531999999999</v>
      </c>
      <c r="J33" s="432"/>
      <c r="K33" s="270"/>
      <c r="L33" s="272"/>
      <c r="M33" s="504"/>
      <c r="N33" s="267"/>
      <c r="O33" s="539"/>
      <c r="P33" s="267"/>
    </row>
    <row r="34" spans="1:16" s="266" customFormat="1" hidden="1" x14ac:dyDescent="0.25">
      <c r="A34" s="547">
        <v>43437</v>
      </c>
      <c r="B34" s="266" t="s">
        <v>266</v>
      </c>
      <c r="C34" s="270" t="s">
        <v>167</v>
      </c>
      <c r="D34" s="271">
        <f>4417+3827</f>
        <v>8244</v>
      </c>
      <c r="E34" s="272">
        <v>4.3</v>
      </c>
      <c r="F34" s="272">
        <f t="shared" si="0"/>
        <v>35449.199999999997</v>
      </c>
      <c r="G34" s="272">
        <f t="shared" si="1"/>
        <v>6735.348</v>
      </c>
      <c r="H34" s="367">
        <f t="shared" si="2"/>
        <v>42184.547999999995</v>
      </c>
      <c r="J34" s="432"/>
      <c r="K34" s="270"/>
      <c r="L34" s="272"/>
      <c r="M34" s="504"/>
      <c r="N34" s="267"/>
      <c r="O34" s="539"/>
      <c r="P34" s="267"/>
    </row>
    <row r="35" spans="1:16" s="266" customFormat="1" hidden="1" x14ac:dyDescent="0.25">
      <c r="A35" s="547">
        <v>43438</v>
      </c>
      <c r="B35" s="266" t="s">
        <v>266</v>
      </c>
      <c r="C35" s="270" t="s">
        <v>167</v>
      </c>
      <c r="D35" s="271">
        <v>2291</v>
      </c>
      <c r="E35" s="272">
        <v>4.3</v>
      </c>
      <c r="F35" s="272">
        <f t="shared" si="0"/>
        <v>9851.2999999999993</v>
      </c>
      <c r="G35" s="272">
        <f t="shared" si="1"/>
        <v>1871.7469999999998</v>
      </c>
      <c r="H35" s="367">
        <f t="shared" si="2"/>
        <v>11723.046999999999</v>
      </c>
      <c r="J35" s="432"/>
      <c r="K35" s="270"/>
      <c r="L35" s="272"/>
      <c r="M35" s="504"/>
      <c r="N35" s="267"/>
      <c r="O35" s="539"/>
      <c r="P35" s="267"/>
    </row>
    <row r="36" spans="1:16" s="266" customFormat="1" hidden="1" x14ac:dyDescent="0.25">
      <c r="A36" s="547">
        <v>43439</v>
      </c>
      <c r="B36" s="266" t="s">
        <v>266</v>
      </c>
      <c r="C36" s="270" t="s">
        <v>167</v>
      </c>
      <c r="D36" s="271">
        <v>2225</v>
      </c>
      <c r="E36" s="272">
        <v>4.3</v>
      </c>
      <c r="F36" s="272">
        <f t="shared" si="0"/>
        <v>9567.5</v>
      </c>
      <c r="G36" s="272">
        <f t="shared" si="1"/>
        <v>1817.825</v>
      </c>
      <c r="H36" s="367">
        <f t="shared" si="2"/>
        <v>11385.325000000001</v>
      </c>
      <c r="J36" s="432"/>
      <c r="K36" s="270"/>
      <c r="L36" s="272"/>
      <c r="M36" s="504"/>
      <c r="N36" s="267"/>
      <c r="O36" s="539"/>
      <c r="P36" s="267"/>
    </row>
    <row r="37" spans="1:16" s="266" customFormat="1" hidden="1" x14ac:dyDescent="0.25">
      <c r="A37" s="547">
        <v>43440</v>
      </c>
      <c r="B37" s="266" t="s">
        <v>266</v>
      </c>
      <c r="C37" s="270" t="s">
        <v>167</v>
      </c>
      <c r="D37" s="271">
        <v>1674</v>
      </c>
      <c r="E37" s="272">
        <v>4.3</v>
      </c>
      <c r="F37" s="272">
        <f t="shared" si="0"/>
        <v>7198.2</v>
      </c>
      <c r="G37" s="272">
        <f t="shared" si="1"/>
        <v>1367.6579999999999</v>
      </c>
      <c r="H37" s="367">
        <f t="shared" si="2"/>
        <v>8565.8580000000002</v>
      </c>
      <c r="J37" s="507"/>
      <c r="K37" s="270"/>
      <c r="L37" s="272"/>
      <c r="M37" s="504"/>
      <c r="N37" s="267"/>
      <c r="O37" s="539"/>
      <c r="P37" s="267"/>
    </row>
    <row r="38" spans="1:16" s="266" customFormat="1" hidden="1" x14ac:dyDescent="0.25">
      <c r="A38" s="547">
        <v>43441</v>
      </c>
      <c r="B38" s="266" t="s">
        <v>266</v>
      </c>
      <c r="C38" s="270" t="s">
        <v>167</v>
      </c>
      <c r="D38" s="271">
        <v>2525</v>
      </c>
      <c r="E38" s="272">
        <v>4.3</v>
      </c>
      <c r="F38" s="272">
        <f t="shared" si="0"/>
        <v>10857.5</v>
      </c>
      <c r="G38" s="272">
        <f t="shared" si="1"/>
        <v>2062.9250000000002</v>
      </c>
      <c r="H38" s="367">
        <f t="shared" si="2"/>
        <v>12920.424999999999</v>
      </c>
      <c r="J38" s="432"/>
      <c r="K38" s="270"/>
      <c r="L38" s="272"/>
      <c r="M38" s="504"/>
      <c r="N38" s="267"/>
      <c r="O38" s="539"/>
      <c r="P38" s="267"/>
    </row>
    <row r="39" spans="1:16" s="266" customFormat="1" hidden="1" x14ac:dyDescent="0.25">
      <c r="A39" s="547">
        <v>43442</v>
      </c>
      <c r="B39" s="266" t="s">
        <v>266</v>
      </c>
      <c r="C39" s="270" t="s">
        <v>167</v>
      </c>
      <c r="D39" s="271">
        <v>2020</v>
      </c>
      <c r="E39" s="272">
        <v>4.3</v>
      </c>
      <c r="F39" s="272">
        <f t="shared" si="0"/>
        <v>8686</v>
      </c>
      <c r="G39" s="272">
        <f t="shared" si="1"/>
        <v>1650.34</v>
      </c>
      <c r="H39" s="367">
        <f t="shared" si="2"/>
        <v>10336.34</v>
      </c>
      <c r="J39" s="432"/>
      <c r="K39" s="270"/>
      <c r="L39" s="272"/>
      <c r="M39" s="504"/>
      <c r="N39" s="267"/>
      <c r="O39" s="539"/>
      <c r="P39" s="267"/>
    </row>
    <row r="40" spans="1:16" s="266" customFormat="1" hidden="1" x14ac:dyDescent="0.25">
      <c r="A40" s="547">
        <v>43444</v>
      </c>
      <c r="B40" s="266" t="s">
        <v>266</v>
      </c>
      <c r="C40" s="270" t="s">
        <v>167</v>
      </c>
      <c r="D40" s="271">
        <f>3461+3980</f>
        <v>7441</v>
      </c>
      <c r="E40" s="272">
        <v>4.3</v>
      </c>
      <c r="F40" s="272">
        <f t="shared" si="0"/>
        <v>31996.3</v>
      </c>
      <c r="G40" s="272">
        <f t="shared" si="1"/>
        <v>6079.2969999999996</v>
      </c>
      <c r="H40" s="367">
        <f t="shared" si="2"/>
        <v>38075.597000000002</v>
      </c>
      <c r="J40" s="432"/>
      <c r="K40" s="270"/>
      <c r="L40" s="272"/>
      <c r="M40" s="504"/>
      <c r="N40" s="267"/>
      <c r="O40" s="539"/>
      <c r="P40" s="267"/>
    </row>
    <row r="41" spans="1:16" s="266" customFormat="1" x14ac:dyDescent="0.25">
      <c r="A41" s="565">
        <v>43445</v>
      </c>
      <c r="B41" s="450" t="s">
        <v>266</v>
      </c>
      <c r="C41" s="557" t="s">
        <v>167</v>
      </c>
      <c r="D41" s="558">
        <v>4491</v>
      </c>
      <c r="E41" s="559">
        <v>4.3</v>
      </c>
      <c r="F41" s="559">
        <f t="shared" si="0"/>
        <v>19311.3</v>
      </c>
      <c r="G41" s="559">
        <f t="shared" si="1"/>
        <v>3669.1469999999999</v>
      </c>
      <c r="H41" s="560">
        <f t="shared" si="2"/>
        <v>22980.447</v>
      </c>
      <c r="J41" s="432"/>
      <c r="K41" s="270"/>
      <c r="L41" s="272"/>
      <c r="M41" s="504"/>
      <c r="N41" s="267"/>
      <c r="O41" s="539"/>
      <c r="P41" s="267"/>
    </row>
    <row r="42" spans="1:16" s="266" customFormat="1" x14ac:dyDescent="0.25">
      <c r="A42" s="565">
        <v>43446</v>
      </c>
      <c r="B42" s="450" t="s">
        <v>266</v>
      </c>
      <c r="C42" s="557" t="s">
        <v>167</v>
      </c>
      <c r="D42" s="558">
        <v>1455</v>
      </c>
      <c r="E42" s="559">
        <v>4.3</v>
      </c>
      <c r="F42" s="559">
        <f t="shared" si="0"/>
        <v>6256.5</v>
      </c>
      <c r="G42" s="559">
        <f t="shared" si="1"/>
        <v>1188.7350000000001</v>
      </c>
      <c r="H42" s="560">
        <f t="shared" si="2"/>
        <v>7445.2350000000006</v>
      </c>
      <c r="J42" s="432"/>
      <c r="K42" s="270"/>
      <c r="L42" s="272"/>
      <c r="M42" s="504"/>
      <c r="N42" s="267"/>
      <c r="O42" s="539"/>
      <c r="P42" s="267"/>
    </row>
    <row r="43" spans="1:16" s="266" customFormat="1" x14ac:dyDescent="0.25">
      <c r="A43" s="565">
        <v>43447</v>
      </c>
      <c r="B43" s="450" t="s">
        <v>266</v>
      </c>
      <c r="C43" s="557" t="s">
        <v>167</v>
      </c>
      <c r="D43" s="558">
        <v>2674</v>
      </c>
      <c r="E43" s="559">
        <v>4.3</v>
      </c>
      <c r="F43" s="559">
        <f t="shared" si="0"/>
        <v>11498.199999999999</v>
      </c>
      <c r="G43" s="559">
        <f t="shared" si="1"/>
        <v>2184.6579999999999</v>
      </c>
      <c r="H43" s="560">
        <f t="shared" si="2"/>
        <v>13682.857999999998</v>
      </c>
      <c r="J43" s="432"/>
      <c r="K43" s="270"/>
      <c r="L43" s="272"/>
      <c r="M43" s="504"/>
      <c r="N43" s="267"/>
      <c r="O43" s="539"/>
      <c r="P43" s="267"/>
    </row>
    <row r="44" spans="1:16" x14ac:dyDescent="0.2">
      <c r="A44" s="565">
        <v>43454</v>
      </c>
      <c r="B44" s="450" t="s">
        <v>266</v>
      </c>
      <c r="C44" s="557" t="s">
        <v>167</v>
      </c>
      <c r="D44" s="558">
        <v>4790</v>
      </c>
      <c r="E44" s="559">
        <v>4.3</v>
      </c>
      <c r="F44" s="559">
        <f t="shared" si="0"/>
        <v>20597</v>
      </c>
      <c r="G44" s="559">
        <f t="shared" si="1"/>
        <v>3913.43</v>
      </c>
      <c r="H44" s="560">
        <f t="shared" si="2"/>
        <v>24510.43</v>
      </c>
      <c r="J44" s="263"/>
      <c r="K44" s="263"/>
      <c r="L44" s="187"/>
      <c r="N44" s="38"/>
      <c r="O44" s="540"/>
      <c r="P44" s="267"/>
    </row>
    <row r="45" spans="1:16" s="266" customFormat="1" x14ac:dyDescent="0.25">
      <c r="A45" s="565">
        <v>43458</v>
      </c>
      <c r="B45" s="450" t="s">
        <v>266</v>
      </c>
      <c r="C45" s="557" t="s">
        <v>167</v>
      </c>
      <c r="D45" s="558">
        <v>3685</v>
      </c>
      <c r="E45" s="559">
        <v>4.3</v>
      </c>
      <c r="F45" s="559">
        <f t="shared" ref="F45:F63" si="3">+D45*E45</f>
        <v>15845.5</v>
      </c>
      <c r="G45" s="559">
        <f t="shared" ref="G45:G63" si="4">+F45*0.19</f>
        <v>3010.645</v>
      </c>
      <c r="H45" s="560">
        <f t="shared" ref="H45:H63" si="5">+F45+G45</f>
        <v>18856.145</v>
      </c>
      <c r="J45" s="432"/>
      <c r="K45" s="270"/>
      <c r="L45" s="272"/>
      <c r="M45" s="504"/>
      <c r="N45" s="267"/>
      <c r="O45" s="539"/>
      <c r="P45" s="267"/>
    </row>
    <row r="46" spans="1:16" s="266" customFormat="1" x14ac:dyDescent="0.25">
      <c r="A46" s="556">
        <v>43459</v>
      </c>
      <c r="B46" s="450" t="s">
        <v>266</v>
      </c>
      <c r="C46" s="557" t="s">
        <v>167</v>
      </c>
      <c r="D46" s="558">
        <v>3731</v>
      </c>
      <c r="E46" s="559">
        <v>4.3</v>
      </c>
      <c r="F46" s="559">
        <f t="shared" si="3"/>
        <v>16043.3</v>
      </c>
      <c r="G46" s="559">
        <f t="shared" si="4"/>
        <v>3048.2269999999999</v>
      </c>
      <c r="H46" s="560">
        <f t="shared" si="5"/>
        <v>19091.526999999998</v>
      </c>
      <c r="J46" s="432"/>
      <c r="K46" s="270"/>
      <c r="L46" s="272"/>
      <c r="M46" s="504"/>
      <c r="N46" s="267"/>
      <c r="O46" s="539"/>
      <c r="P46" s="267"/>
    </row>
    <row r="47" spans="1:16" s="266" customFormat="1" x14ac:dyDescent="0.25">
      <c r="A47" s="556">
        <v>43460</v>
      </c>
      <c r="B47" s="450" t="s">
        <v>266</v>
      </c>
      <c r="C47" s="557" t="s">
        <v>167</v>
      </c>
      <c r="D47" s="558">
        <v>2184</v>
      </c>
      <c r="E47" s="559">
        <v>4.3</v>
      </c>
      <c r="F47" s="559">
        <f t="shared" si="3"/>
        <v>9391.1999999999989</v>
      </c>
      <c r="G47" s="559">
        <f t="shared" si="4"/>
        <v>1784.3279999999997</v>
      </c>
      <c r="H47" s="560">
        <f t="shared" si="5"/>
        <v>11175.527999999998</v>
      </c>
      <c r="J47" s="432"/>
      <c r="K47" s="270"/>
      <c r="L47" s="272"/>
      <c r="M47" s="504"/>
      <c r="N47" s="267"/>
      <c r="O47" s="539"/>
      <c r="P47" s="267"/>
    </row>
    <row r="48" spans="1:16" s="266" customFormat="1" x14ac:dyDescent="0.25">
      <c r="A48" s="556">
        <v>43467</v>
      </c>
      <c r="B48" s="450" t="s">
        <v>266</v>
      </c>
      <c r="C48" s="557" t="s">
        <v>167</v>
      </c>
      <c r="D48" s="558">
        <v>3938</v>
      </c>
      <c r="E48" s="559">
        <v>4.3</v>
      </c>
      <c r="F48" s="559">
        <f t="shared" si="3"/>
        <v>16933.399999999998</v>
      </c>
      <c r="G48" s="559">
        <f t="shared" si="4"/>
        <v>3217.3459999999995</v>
      </c>
      <c r="H48" s="560">
        <f t="shared" si="5"/>
        <v>20150.745999999999</v>
      </c>
      <c r="J48" s="432"/>
      <c r="K48" s="270"/>
      <c r="L48" s="272"/>
      <c r="M48" s="504"/>
      <c r="N48" s="267"/>
      <c r="O48" s="539"/>
      <c r="P48" s="267"/>
    </row>
    <row r="49" spans="1:16" s="266" customFormat="1" x14ac:dyDescent="0.25">
      <c r="A49" s="556">
        <v>43472</v>
      </c>
      <c r="B49" s="450" t="s">
        <v>266</v>
      </c>
      <c r="C49" s="557" t="s">
        <v>167</v>
      </c>
      <c r="D49" s="558">
        <v>6181</v>
      </c>
      <c r="E49" s="559">
        <v>4.3</v>
      </c>
      <c r="F49" s="559">
        <f t="shared" si="3"/>
        <v>26578.3</v>
      </c>
      <c r="G49" s="559">
        <f t="shared" si="4"/>
        <v>5049.8769999999995</v>
      </c>
      <c r="H49" s="560">
        <f t="shared" si="5"/>
        <v>31628.177</v>
      </c>
      <c r="J49" s="432"/>
      <c r="K49" s="270"/>
      <c r="L49" s="272"/>
      <c r="M49" s="504"/>
      <c r="N49" s="267"/>
      <c r="O49" s="539"/>
      <c r="P49" s="267"/>
    </row>
    <row r="50" spans="1:16" s="266" customFormat="1" x14ac:dyDescent="0.25">
      <c r="A50" s="556">
        <v>43473</v>
      </c>
      <c r="B50" s="450" t="s">
        <v>266</v>
      </c>
      <c r="C50" s="557" t="s">
        <v>167</v>
      </c>
      <c r="D50" s="558">
        <v>1347</v>
      </c>
      <c r="E50" s="559">
        <v>4.3</v>
      </c>
      <c r="F50" s="559">
        <f t="shared" si="3"/>
        <v>5792.0999999999995</v>
      </c>
      <c r="G50" s="559">
        <f t="shared" si="4"/>
        <v>1100.4989999999998</v>
      </c>
      <c r="H50" s="560">
        <f t="shared" si="5"/>
        <v>6892.5989999999993</v>
      </c>
      <c r="J50" s="432"/>
      <c r="K50" s="270"/>
      <c r="L50" s="272"/>
      <c r="M50" s="504"/>
      <c r="N50" s="267"/>
      <c r="O50" s="539"/>
      <c r="P50" s="267"/>
    </row>
    <row r="51" spans="1:16" s="266" customFormat="1" x14ac:dyDescent="0.25">
      <c r="A51" s="556">
        <v>43476</v>
      </c>
      <c r="B51" s="450" t="s">
        <v>266</v>
      </c>
      <c r="C51" s="557" t="s">
        <v>167</v>
      </c>
      <c r="D51" s="558">
        <v>1854</v>
      </c>
      <c r="E51" s="559">
        <v>4.3</v>
      </c>
      <c r="F51" s="559">
        <f t="shared" si="3"/>
        <v>7972.2</v>
      </c>
      <c r="G51" s="559">
        <f t="shared" si="4"/>
        <v>1514.7180000000001</v>
      </c>
      <c r="H51" s="560">
        <f t="shared" si="5"/>
        <v>9486.9179999999997</v>
      </c>
      <c r="J51" s="432"/>
      <c r="K51" s="270"/>
      <c r="L51" s="272"/>
      <c r="M51" s="504"/>
      <c r="N51" s="267"/>
      <c r="O51" s="539"/>
      <c r="P51" s="267"/>
    </row>
    <row r="52" spans="1:16" s="266" customFormat="1" x14ac:dyDescent="0.25">
      <c r="A52" s="556">
        <v>43480</v>
      </c>
      <c r="B52" s="450" t="s">
        <v>266</v>
      </c>
      <c r="C52" s="557" t="s">
        <v>167</v>
      </c>
      <c r="D52" s="558">
        <v>7782</v>
      </c>
      <c r="E52" s="559">
        <v>4.3</v>
      </c>
      <c r="F52" s="559">
        <f t="shared" si="3"/>
        <v>33462.6</v>
      </c>
      <c r="G52" s="559">
        <f t="shared" si="4"/>
        <v>6357.8940000000002</v>
      </c>
      <c r="H52" s="560">
        <f t="shared" si="5"/>
        <v>39820.493999999999</v>
      </c>
      <c r="J52" s="432"/>
      <c r="K52" s="270"/>
      <c r="L52" s="272"/>
      <c r="M52" s="504"/>
      <c r="N52" s="267"/>
      <c r="O52" s="539"/>
      <c r="P52" s="267"/>
    </row>
    <row r="53" spans="1:16" s="266" customFormat="1" x14ac:dyDescent="0.25">
      <c r="A53" s="556">
        <v>43481</v>
      </c>
      <c r="B53" s="450" t="s">
        <v>266</v>
      </c>
      <c r="C53" s="557" t="s">
        <v>167</v>
      </c>
      <c r="D53" s="558">
        <v>2776</v>
      </c>
      <c r="E53" s="559">
        <v>4.3</v>
      </c>
      <c r="F53" s="559">
        <f t="shared" si="3"/>
        <v>11936.8</v>
      </c>
      <c r="G53" s="559">
        <f t="shared" si="4"/>
        <v>2267.9919999999997</v>
      </c>
      <c r="H53" s="560">
        <f t="shared" si="5"/>
        <v>14204.791999999999</v>
      </c>
      <c r="J53" s="432"/>
      <c r="K53" s="270"/>
      <c r="L53" s="272"/>
      <c r="M53" s="504"/>
      <c r="N53" s="267"/>
      <c r="O53" s="539"/>
      <c r="P53" s="267"/>
    </row>
    <row r="54" spans="1:16" s="266" customFormat="1" x14ac:dyDescent="0.25">
      <c r="A54" s="556">
        <v>43482</v>
      </c>
      <c r="B54" s="450" t="s">
        <v>266</v>
      </c>
      <c r="C54" s="557" t="s">
        <v>167</v>
      </c>
      <c r="D54" s="558">
        <v>2510</v>
      </c>
      <c r="E54" s="559">
        <v>4.5</v>
      </c>
      <c r="F54" s="559">
        <f t="shared" si="3"/>
        <v>11295</v>
      </c>
      <c r="G54" s="559">
        <f t="shared" si="4"/>
        <v>2146.0500000000002</v>
      </c>
      <c r="H54" s="560">
        <f t="shared" si="5"/>
        <v>13441.05</v>
      </c>
      <c r="J54" s="432"/>
      <c r="K54" s="270"/>
      <c r="L54" s="272"/>
      <c r="M54" s="504"/>
      <c r="N54" s="267"/>
      <c r="O54" s="539"/>
      <c r="P54" s="267"/>
    </row>
    <row r="55" spans="1:16" s="266" customFormat="1" x14ac:dyDescent="0.25">
      <c r="A55" s="556">
        <v>43483</v>
      </c>
      <c r="B55" s="450" t="s">
        <v>266</v>
      </c>
      <c r="C55" s="557" t="s">
        <v>167</v>
      </c>
      <c r="D55" s="558">
        <v>1997</v>
      </c>
      <c r="E55" s="559">
        <v>4.5</v>
      </c>
      <c r="F55" s="559">
        <f t="shared" si="3"/>
        <v>8986.5</v>
      </c>
      <c r="G55" s="559">
        <f t="shared" si="4"/>
        <v>1707.4349999999999</v>
      </c>
      <c r="H55" s="560">
        <f t="shared" si="5"/>
        <v>10693.934999999999</v>
      </c>
      <c r="J55" s="432"/>
      <c r="K55" s="270"/>
      <c r="L55" s="272"/>
      <c r="M55" s="504"/>
      <c r="N55" s="267"/>
      <c r="O55" s="539"/>
      <c r="P55" s="267"/>
    </row>
    <row r="56" spans="1:16" s="266" customFormat="1" x14ac:dyDescent="0.25">
      <c r="A56" s="556">
        <v>43489</v>
      </c>
      <c r="B56" s="450" t="s">
        <v>266</v>
      </c>
      <c r="C56" s="557" t="s">
        <v>167</v>
      </c>
      <c r="D56" s="558">
        <v>1286</v>
      </c>
      <c r="E56" s="559">
        <v>4.5</v>
      </c>
      <c r="F56" s="559">
        <f t="shared" si="3"/>
        <v>5787</v>
      </c>
      <c r="G56" s="559">
        <f t="shared" si="4"/>
        <v>1099.53</v>
      </c>
      <c r="H56" s="560">
        <f t="shared" si="5"/>
        <v>6886.53</v>
      </c>
      <c r="J56" s="432"/>
      <c r="K56" s="270"/>
      <c r="L56" s="272"/>
      <c r="M56" s="504"/>
      <c r="N56" s="267"/>
      <c r="O56" s="539"/>
      <c r="P56" s="267"/>
    </row>
    <row r="57" spans="1:16" s="266" customFormat="1" x14ac:dyDescent="0.25">
      <c r="A57" s="556">
        <v>43495</v>
      </c>
      <c r="B57" s="450" t="s">
        <v>266</v>
      </c>
      <c r="C57" s="557" t="s">
        <v>167</v>
      </c>
      <c r="D57" s="558">
        <v>3574</v>
      </c>
      <c r="E57" s="559">
        <v>4.5</v>
      </c>
      <c r="F57" s="559">
        <f t="shared" si="3"/>
        <v>16083</v>
      </c>
      <c r="G57" s="559">
        <f t="shared" si="4"/>
        <v>3055.77</v>
      </c>
      <c r="H57" s="560">
        <f t="shared" si="5"/>
        <v>19138.77</v>
      </c>
      <c r="J57" s="432"/>
      <c r="K57" s="270"/>
      <c r="L57" s="272"/>
      <c r="M57" s="504"/>
      <c r="N57" s="267"/>
      <c r="O57" s="539"/>
      <c r="P57" s="267"/>
    </row>
    <row r="58" spans="1:16" s="266" customFormat="1" x14ac:dyDescent="0.25">
      <c r="A58" s="366">
        <v>43511</v>
      </c>
      <c r="B58" s="266" t="s">
        <v>266</v>
      </c>
      <c r="C58" s="270" t="s">
        <v>167</v>
      </c>
      <c r="D58" s="271">
        <v>2428</v>
      </c>
      <c r="E58" s="272">
        <v>4.5</v>
      </c>
      <c r="F58" s="272">
        <f t="shared" si="3"/>
        <v>10926</v>
      </c>
      <c r="G58" s="272">
        <f t="shared" si="4"/>
        <v>2075.94</v>
      </c>
      <c r="H58" s="367">
        <f t="shared" si="5"/>
        <v>13001.94</v>
      </c>
      <c r="J58" s="432"/>
      <c r="K58" s="270"/>
      <c r="L58" s="272"/>
      <c r="M58" s="504"/>
      <c r="N58" s="267"/>
      <c r="O58" s="539"/>
      <c r="P58" s="267"/>
    </row>
    <row r="59" spans="1:16" s="266" customFormat="1" x14ac:dyDescent="0.25">
      <c r="A59" s="366">
        <v>43514</v>
      </c>
      <c r="B59" s="266" t="s">
        <v>266</v>
      </c>
      <c r="C59" s="270" t="s">
        <v>167</v>
      </c>
      <c r="D59" s="271">
        <v>2570</v>
      </c>
      <c r="E59" s="272">
        <v>4.5</v>
      </c>
      <c r="F59" s="272">
        <f t="shared" si="3"/>
        <v>11565</v>
      </c>
      <c r="G59" s="272">
        <f t="shared" si="4"/>
        <v>2197.35</v>
      </c>
      <c r="H59" s="367">
        <f t="shared" si="5"/>
        <v>13762.35</v>
      </c>
      <c r="J59" s="432"/>
      <c r="K59" s="270"/>
      <c r="L59" s="272"/>
      <c r="M59" s="504"/>
      <c r="N59" s="267"/>
      <c r="O59" s="539"/>
      <c r="P59" s="267"/>
    </row>
    <row r="60" spans="1:16" s="266" customFormat="1" x14ac:dyDescent="0.25">
      <c r="A60" s="366">
        <v>43516</v>
      </c>
      <c r="B60" s="266" t="s">
        <v>266</v>
      </c>
      <c r="C60" s="270" t="s">
        <v>167</v>
      </c>
      <c r="D60" s="271">
        <v>5054</v>
      </c>
      <c r="E60" s="272">
        <v>4.5</v>
      </c>
      <c r="F60" s="272">
        <f t="shared" si="3"/>
        <v>22743</v>
      </c>
      <c r="G60" s="272">
        <f t="shared" si="4"/>
        <v>4321.17</v>
      </c>
      <c r="H60" s="367">
        <f t="shared" si="5"/>
        <v>27064.17</v>
      </c>
      <c r="J60" s="432"/>
      <c r="K60" s="270"/>
      <c r="L60" s="272"/>
      <c r="M60" s="504"/>
      <c r="N60" s="267"/>
      <c r="O60" s="539"/>
      <c r="P60" s="267"/>
    </row>
    <row r="61" spans="1:16" s="266" customFormat="1" x14ac:dyDescent="0.25">
      <c r="A61" s="366">
        <v>43518</v>
      </c>
      <c r="B61" s="266" t="s">
        <v>266</v>
      </c>
      <c r="C61" s="270" t="s">
        <v>167</v>
      </c>
      <c r="D61" s="271">
        <v>2298</v>
      </c>
      <c r="E61" s="272">
        <v>4.5</v>
      </c>
      <c r="F61" s="272">
        <f t="shared" si="3"/>
        <v>10341</v>
      </c>
      <c r="G61" s="272">
        <f t="shared" si="4"/>
        <v>1964.79</v>
      </c>
      <c r="H61" s="367">
        <f t="shared" si="5"/>
        <v>12305.79</v>
      </c>
      <c r="J61" s="432"/>
      <c r="K61" s="270"/>
      <c r="L61" s="272"/>
      <c r="M61" s="504"/>
      <c r="N61" s="267"/>
      <c r="O61" s="539"/>
      <c r="P61" s="267"/>
    </row>
    <row r="62" spans="1:16" s="266" customFormat="1" x14ac:dyDescent="0.25">
      <c r="A62" s="366">
        <v>43521</v>
      </c>
      <c r="B62" s="266" t="s">
        <v>266</v>
      </c>
      <c r="C62" s="270" t="s">
        <v>167</v>
      </c>
      <c r="D62" s="271">
        <v>5067</v>
      </c>
      <c r="E62" s="272">
        <v>4.5</v>
      </c>
      <c r="F62" s="272">
        <f t="shared" si="3"/>
        <v>22801.5</v>
      </c>
      <c r="G62" s="272">
        <f t="shared" si="4"/>
        <v>4332.2849999999999</v>
      </c>
      <c r="H62" s="367">
        <f t="shared" si="5"/>
        <v>27133.785</v>
      </c>
      <c r="J62" s="432"/>
      <c r="K62" s="270"/>
      <c r="L62" s="272"/>
      <c r="M62" s="504"/>
      <c r="N62" s="267"/>
      <c r="O62" s="539"/>
      <c r="P62" s="267"/>
    </row>
    <row r="63" spans="1:16" s="266" customFormat="1" x14ac:dyDescent="0.25">
      <c r="A63" s="366">
        <v>43524</v>
      </c>
      <c r="B63" s="266" t="s">
        <v>266</v>
      </c>
      <c r="C63" s="270" t="s">
        <v>167</v>
      </c>
      <c r="D63" s="271">
        <v>9087</v>
      </c>
      <c r="E63" s="272">
        <v>4.5</v>
      </c>
      <c r="F63" s="272">
        <f t="shared" si="3"/>
        <v>40891.5</v>
      </c>
      <c r="G63" s="272">
        <f t="shared" si="4"/>
        <v>7769.3850000000002</v>
      </c>
      <c r="H63" s="367">
        <f t="shared" si="5"/>
        <v>48660.885000000002</v>
      </c>
      <c r="J63" s="432"/>
      <c r="K63" s="270"/>
      <c r="L63" s="272"/>
      <c r="M63" s="504"/>
      <c r="N63" s="267"/>
      <c r="O63" s="539"/>
      <c r="P63" s="267"/>
    </row>
    <row r="64" spans="1:16" s="266" customFormat="1" x14ac:dyDescent="0.25">
      <c r="A64" s="366"/>
      <c r="C64" s="270"/>
      <c r="D64" s="271"/>
      <c r="E64" s="272"/>
      <c r="F64" s="272"/>
      <c r="G64" s="272"/>
      <c r="H64" s="367"/>
      <c r="J64" s="432"/>
      <c r="K64" s="270"/>
      <c r="L64" s="272"/>
      <c r="M64" s="504"/>
      <c r="N64" s="267"/>
      <c r="O64" s="539"/>
      <c r="P64" s="267"/>
    </row>
    <row r="65" spans="1:16" s="266" customFormat="1" x14ac:dyDescent="0.25">
      <c r="A65" s="366"/>
      <c r="C65" s="270"/>
      <c r="D65" s="271"/>
      <c r="E65" s="272"/>
      <c r="F65" s="272"/>
      <c r="G65" s="272"/>
      <c r="H65" s="367"/>
      <c r="J65" s="432"/>
      <c r="K65" s="270"/>
      <c r="L65" s="272"/>
      <c r="M65" s="504"/>
      <c r="N65" s="267"/>
      <c r="O65" s="539"/>
      <c r="P65" s="267"/>
    </row>
    <row r="66" spans="1:16" ht="13.5" thickBot="1" x14ac:dyDescent="0.25">
      <c r="A66" s="365"/>
      <c r="B66" s="361"/>
      <c r="C66" s="362"/>
      <c r="D66" s="363"/>
      <c r="E66" s="364"/>
      <c r="F66" s="364"/>
      <c r="G66" s="364"/>
      <c r="H66" s="436"/>
      <c r="J66" s="263"/>
      <c r="K66" s="263"/>
      <c r="L66" s="187"/>
      <c r="N66" s="38"/>
      <c r="O66" s="540"/>
      <c r="P66" s="267"/>
    </row>
    <row r="67" spans="1:16" ht="13.5" thickBot="1" x14ac:dyDescent="0.25">
      <c r="H67" s="435">
        <f>+H14+H17++H18+H20+H41+H42+H43+H44+H45+H46+H47+H48+H49+H50+H51+H52+H53+H54+H55+H56+H57</f>
        <v>722150.19100000022</v>
      </c>
    </row>
    <row r="69" spans="1:16" x14ac:dyDescent="0.2">
      <c r="A69" s="914" t="s">
        <v>636</v>
      </c>
      <c r="B69" s="914"/>
      <c r="C69" s="914"/>
      <c r="D69" s="914"/>
      <c r="E69" s="914"/>
      <c r="F69" s="914"/>
      <c r="G69" s="914"/>
      <c r="H69" s="914"/>
    </row>
    <row r="70" spans="1:16" ht="13.5" thickBot="1" x14ac:dyDescent="0.25">
      <c r="A70" s="250"/>
      <c r="C70" s="263"/>
      <c r="D70" s="180"/>
      <c r="E70" s="187"/>
      <c r="F70" s="187"/>
      <c r="G70" s="187"/>
      <c r="H70" s="187"/>
    </row>
    <row r="71" spans="1:16" x14ac:dyDescent="0.2">
      <c r="A71" s="915" t="s">
        <v>243</v>
      </c>
      <c r="B71" s="916"/>
      <c r="C71" s="314" t="s">
        <v>167</v>
      </c>
      <c r="D71" s="917">
        <v>0</v>
      </c>
      <c r="E71" s="918"/>
      <c r="F71" s="231">
        <v>0</v>
      </c>
      <c r="G71" s="231">
        <v>0</v>
      </c>
      <c r="H71" s="315">
        <v>0</v>
      </c>
    </row>
    <row r="72" spans="1:16" x14ac:dyDescent="0.2">
      <c r="A72" s="904" t="s">
        <v>244</v>
      </c>
      <c r="B72" s="905"/>
      <c r="C72" s="316" t="s">
        <v>167</v>
      </c>
      <c r="D72" s="906">
        <f>1646713+D79</f>
        <v>1683713</v>
      </c>
      <c r="E72" s="907"/>
      <c r="F72" s="189">
        <f>3092650.6+F79</f>
        <v>3159250.6</v>
      </c>
      <c r="G72" s="189">
        <f>587603.614+G79</f>
        <v>600257.61399999994</v>
      </c>
      <c r="H72" s="317">
        <f>+F72+G72</f>
        <v>3759508.2140000002</v>
      </c>
    </row>
    <row r="73" spans="1:16" x14ac:dyDescent="0.2">
      <c r="A73" s="904" t="s">
        <v>245</v>
      </c>
      <c r="B73" s="905"/>
      <c r="C73" s="316" t="s">
        <v>167</v>
      </c>
      <c r="D73" s="906">
        <v>531</v>
      </c>
      <c r="E73" s="907"/>
      <c r="F73" s="189">
        <v>16992</v>
      </c>
      <c r="G73" s="189">
        <v>3228.48</v>
      </c>
      <c r="H73" s="317">
        <v>20221.080000000002</v>
      </c>
    </row>
    <row r="74" spans="1:16" x14ac:dyDescent="0.2">
      <c r="A74" s="904" t="s">
        <v>246</v>
      </c>
      <c r="B74" s="905"/>
      <c r="C74" s="316" t="s">
        <v>167</v>
      </c>
      <c r="D74" s="906">
        <f>47612+D80+D81</f>
        <v>98932</v>
      </c>
      <c r="E74" s="907"/>
      <c r="F74" s="189">
        <f>201670.8+F80+F81</f>
        <v>442874.8</v>
      </c>
      <c r="G74" s="189">
        <f>38317.452+G80+G81</f>
        <v>84146.212</v>
      </c>
      <c r="H74" s="317">
        <f>G74+F74</f>
        <v>527021.01199999999</v>
      </c>
    </row>
    <row r="75" spans="1:16" x14ac:dyDescent="0.2">
      <c r="A75" s="908" t="s">
        <v>76</v>
      </c>
      <c r="B75" s="909"/>
      <c r="C75" s="909"/>
      <c r="D75" s="909"/>
      <c r="E75" s="909"/>
      <c r="F75" s="318">
        <f>SUM(F71:F74)</f>
        <v>3619117.4</v>
      </c>
      <c r="G75" s="318">
        <f>SUM(G71:G74)</f>
        <v>687632.30599999987</v>
      </c>
      <c r="H75" s="319">
        <f>SUM(H71:H74)</f>
        <v>4306750.3059999999</v>
      </c>
    </row>
    <row r="76" spans="1:16" x14ac:dyDescent="0.2">
      <c r="A76" s="910" t="s">
        <v>247</v>
      </c>
      <c r="B76" s="911"/>
      <c r="C76" s="911"/>
      <c r="D76" s="911"/>
      <c r="E76" s="911"/>
      <c r="F76" s="911"/>
      <c r="G76" s="911"/>
      <c r="H76" s="319">
        <f>3940467.146+79254.6+131324.24</f>
        <v>4151045.9860000005</v>
      </c>
    </row>
    <row r="77" spans="1:16" ht="13.5" thickBot="1" x14ac:dyDescent="0.25">
      <c r="A77" s="912" t="s">
        <v>248</v>
      </c>
      <c r="B77" s="913"/>
      <c r="C77" s="913"/>
      <c r="D77" s="913"/>
      <c r="E77" s="913"/>
      <c r="F77" s="913"/>
      <c r="G77" s="913"/>
      <c r="H77" s="320">
        <f>+H75-H76</f>
        <v>155704.31999999937</v>
      </c>
      <c r="J77" s="187"/>
    </row>
    <row r="79" spans="1:16" s="266" customFormat="1" hidden="1" x14ac:dyDescent="0.25">
      <c r="A79" s="426">
        <v>43500</v>
      </c>
      <c r="B79" s="427" t="s">
        <v>638</v>
      </c>
      <c r="C79" s="428" t="s">
        <v>167</v>
      </c>
      <c r="D79" s="429">
        <v>37000</v>
      </c>
      <c r="E79" s="430">
        <v>1.8</v>
      </c>
      <c r="F79" s="430">
        <f>+D79*E79</f>
        <v>66600</v>
      </c>
      <c r="G79" s="430">
        <f>+F79*0.19</f>
        <v>12654</v>
      </c>
      <c r="H79" s="431">
        <f>+F79+G79+0.6</f>
        <v>79254.600000000006</v>
      </c>
      <c r="J79" s="432"/>
      <c r="K79" s="506"/>
      <c r="L79" s="272"/>
      <c r="M79" s="504"/>
      <c r="N79" s="267"/>
      <c r="O79" s="539"/>
      <c r="P79" s="267"/>
    </row>
    <row r="80" spans="1:16" s="266" customFormat="1" hidden="1" x14ac:dyDescent="0.25">
      <c r="A80" s="366">
        <v>43498</v>
      </c>
      <c r="B80" s="266" t="s">
        <v>266</v>
      </c>
      <c r="C80" s="270" t="s">
        <v>167</v>
      </c>
      <c r="D80" s="271">
        <v>23480</v>
      </c>
      <c r="E80" s="272">
        <v>4.7</v>
      </c>
      <c r="F80" s="272">
        <f>+D80*E80</f>
        <v>110356</v>
      </c>
      <c r="G80" s="272">
        <f>+F80*0.19</f>
        <v>20967.64</v>
      </c>
      <c r="H80" s="367">
        <f>+F80+G80+0.6</f>
        <v>131324.24000000002</v>
      </c>
      <c r="J80" s="432"/>
      <c r="K80" s="506"/>
      <c r="L80" s="272"/>
      <c r="M80" s="504"/>
      <c r="N80" s="267"/>
      <c r="O80" s="539"/>
      <c r="P80" s="267"/>
    </row>
    <row r="81" spans="1:16" s="266" customFormat="1" x14ac:dyDescent="0.25">
      <c r="A81" s="366">
        <v>43500</v>
      </c>
      <c r="B81" s="266" t="s">
        <v>266</v>
      </c>
      <c r="C81" s="270" t="s">
        <v>167</v>
      </c>
      <c r="D81" s="271">
        <v>27840</v>
      </c>
      <c r="E81" s="272">
        <v>4.7</v>
      </c>
      <c r="F81" s="272">
        <f>+D81*E81</f>
        <v>130848</v>
      </c>
      <c r="G81" s="272">
        <f>+F81*0.19</f>
        <v>24861.119999999999</v>
      </c>
      <c r="H81" s="367">
        <f>+F81+G81+0.6</f>
        <v>155709.72</v>
      </c>
      <c r="J81" s="432"/>
      <c r="K81" s="506"/>
      <c r="L81" s="272"/>
      <c r="M81" s="504"/>
      <c r="N81" s="267"/>
      <c r="O81" s="539"/>
      <c r="P81" s="267"/>
    </row>
    <row r="82" spans="1:16" s="266" customFormat="1" x14ac:dyDescent="0.25">
      <c r="A82" s="366"/>
      <c r="C82" s="270"/>
      <c r="D82" s="271"/>
      <c r="E82" s="272"/>
      <c r="F82" s="272"/>
      <c r="G82" s="272"/>
      <c r="H82" s="367"/>
      <c r="J82" s="432"/>
      <c r="K82" s="506"/>
      <c r="L82" s="272"/>
      <c r="M82" s="504"/>
      <c r="N82" s="267"/>
      <c r="O82" s="539"/>
      <c r="P82" s="267"/>
    </row>
    <row r="83" spans="1:16" s="266" customFormat="1" ht="13.5" thickBot="1" x14ac:dyDescent="0.3">
      <c r="A83" s="368"/>
      <c r="B83" s="369"/>
      <c r="C83" s="370"/>
      <c r="D83" s="371"/>
      <c r="E83" s="372"/>
      <c r="F83" s="372"/>
      <c r="G83" s="372"/>
      <c r="H83" s="373"/>
      <c r="K83" s="270"/>
      <c r="L83" s="272"/>
      <c r="M83" s="504"/>
      <c r="N83" s="425"/>
      <c r="O83" s="539"/>
      <c r="P83" s="267"/>
    </row>
    <row r="84" spans="1:16" s="266" customFormat="1" x14ac:dyDescent="0.25">
      <c r="A84" s="269"/>
      <c r="C84" s="270"/>
      <c r="D84" s="271"/>
      <c r="E84" s="272"/>
      <c r="F84" s="272"/>
      <c r="G84" s="272"/>
      <c r="H84" s="272"/>
      <c r="K84" s="270"/>
      <c r="L84" s="272"/>
      <c r="M84" s="504"/>
      <c r="N84" s="267"/>
      <c r="O84" s="539"/>
      <c r="P84" s="267"/>
    </row>
    <row r="85" spans="1:16" x14ac:dyDescent="0.2">
      <c r="A85" s="914" t="s">
        <v>635</v>
      </c>
      <c r="B85" s="914"/>
      <c r="C85" s="914"/>
      <c r="D85" s="914"/>
      <c r="E85" s="914"/>
      <c r="F85" s="914"/>
      <c r="G85" s="914"/>
      <c r="H85" s="914"/>
    </row>
    <row r="86" spans="1:16" ht="13.5" thickBot="1" x14ac:dyDescent="0.25">
      <c r="A86" s="250"/>
      <c r="C86" s="263"/>
      <c r="D86" s="180"/>
      <c r="E86" s="187"/>
      <c r="F86" s="187"/>
      <c r="G86" s="187"/>
      <c r="H86" s="187"/>
    </row>
    <row r="87" spans="1:16" x14ac:dyDescent="0.2">
      <c r="A87" s="915" t="s">
        <v>243</v>
      </c>
      <c r="B87" s="916"/>
      <c r="C87" s="314" t="s">
        <v>167</v>
      </c>
      <c r="D87" s="917">
        <v>0</v>
      </c>
      <c r="E87" s="918"/>
      <c r="F87" s="231">
        <v>0</v>
      </c>
      <c r="G87" s="231">
        <v>0</v>
      </c>
      <c r="H87" s="315">
        <v>0</v>
      </c>
    </row>
    <row r="88" spans="1:16" x14ac:dyDescent="0.2">
      <c r="A88" s="904" t="s">
        <v>244</v>
      </c>
      <c r="B88" s="905"/>
      <c r="C88" s="316" t="s">
        <v>167</v>
      </c>
      <c r="D88" s="906">
        <f>854760+D95</f>
        <v>889280</v>
      </c>
      <c r="E88" s="907"/>
      <c r="F88" s="189">
        <f>1431022+F95</f>
        <v>1493158</v>
      </c>
      <c r="G88" s="189">
        <f>273140.202+G95</f>
        <v>285064.1004</v>
      </c>
      <c r="H88" s="317">
        <f>1714500.438+H95</f>
        <v>1789182.2964000001</v>
      </c>
    </row>
    <row r="89" spans="1:16" x14ac:dyDescent="0.2">
      <c r="A89" s="904" t="s">
        <v>245</v>
      </c>
      <c r="B89" s="905"/>
      <c r="C89" s="316" t="s">
        <v>167</v>
      </c>
      <c r="D89" s="906">
        <v>0</v>
      </c>
      <c r="E89" s="907"/>
      <c r="F89" s="189">
        <v>0</v>
      </c>
      <c r="G89" s="189">
        <v>0</v>
      </c>
      <c r="H89" s="317">
        <v>0</v>
      </c>
    </row>
    <row r="90" spans="1:16" x14ac:dyDescent="0.2">
      <c r="A90" s="904" t="s">
        <v>246</v>
      </c>
      <c r="B90" s="905"/>
      <c r="C90" s="316" t="s">
        <v>167</v>
      </c>
      <c r="D90" s="906">
        <v>0</v>
      </c>
      <c r="E90" s="907"/>
      <c r="F90" s="189">
        <v>0</v>
      </c>
      <c r="G90" s="189">
        <v>0</v>
      </c>
      <c r="H90" s="317">
        <v>0</v>
      </c>
    </row>
    <row r="91" spans="1:16" x14ac:dyDescent="0.2">
      <c r="A91" s="908" t="s">
        <v>76</v>
      </c>
      <c r="B91" s="909"/>
      <c r="C91" s="909"/>
      <c r="D91" s="909"/>
      <c r="E91" s="909"/>
      <c r="F91" s="318">
        <f>SUM(F87:F90)</f>
        <v>1493158</v>
      </c>
      <c r="G91" s="318">
        <f>SUM(G87:G90)</f>
        <v>285064.1004</v>
      </c>
      <c r="H91" s="319">
        <f>SUM(H87:H90)</f>
        <v>1789182.2964000001</v>
      </c>
    </row>
    <row r="92" spans="1:16" x14ac:dyDescent="0.2">
      <c r="A92" s="910" t="s">
        <v>247</v>
      </c>
      <c r="B92" s="911"/>
      <c r="C92" s="911"/>
      <c r="D92" s="911"/>
      <c r="E92" s="911"/>
      <c r="F92" s="911"/>
      <c r="G92" s="911"/>
      <c r="H92" s="319">
        <f>1714500.438+74681.858</f>
        <v>1789182.2960000001</v>
      </c>
    </row>
    <row r="93" spans="1:16" ht="13.5" thickBot="1" x14ac:dyDescent="0.25">
      <c r="A93" s="912" t="s">
        <v>248</v>
      </c>
      <c r="B93" s="913"/>
      <c r="C93" s="913"/>
      <c r="D93" s="913"/>
      <c r="E93" s="913"/>
      <c r="F93" s="913"/>
      <c r="G93" s="913"/>
      <c r="H93" s="320">
        <f>+H91-H92</f>
        <v>4.0000001899898052E-4</v>
      </c>
    </row>
    <row r="95" spans="1:16" s="266" customFormat="1" x14ac:dyDescent="0.25">
      <c r="A95" s="510">
        <v>43500</v>
      </c>
      <c r="B95" s="427" t="s">
        <v>174</v>
      </c>
      <c r="C95" s="428" t="s">
        <v>206</v>
      </c>
      <c r="D95" s="429">
        <v>34520</v>
      </c>
      <c r="E95" s="430">
        <v>1.8</v>
      </c>
      <c r="F95" s="430">
        <f>D95*E95</f>
        <v>62136</v>
      </c>
      <c r="G95" s="430">
        <f>F95*1.01*0.19</f>
        <v>11923.8984</v>
      </c>
      <c r="H95" s="431">
        <f>F95*1.01+G95+0.6</f>
        <v>74681.858400000012</v>
      </c>
      <c r="J95" s="432"/>
      <c r="K95" s="270"/>
      <c r="L95" s="272"/>
      <c r="M95" s="504"/>
      <c r="N95" s="267"/>
      <c r="O95" s="539"/>
      <c r="P95" s="267"/>
    </row>
    <row r="96" spans="1:16" s="266" customFormat="1" x14ac:dyDescent="0.25">
      <c r="A96" s="511"/>
      <c r="C96" s="270"/>
      <c r="D96" s="271"/>
      <c r="E96" s="272"/>
      <c r="F96" s="272"/>
      <c r="G96" s="272"/>
      <c r="H96" s="367"/>
      <c r="J96" s="432"/>
      <c r="K96" s="270"/>
      <c r="L96" s="272"/>
      <c r="M96" s="504"/>
      <c r="N96" s="267"/>
      <c r="O96" s="539"/>
      <c r="P96" s="267"/>
    </row>
    <row r="97" spans="1:8" ht="13.5" thickBot="1" x14ac:dyDescent="0.25">
      <c r="A97" s="512"/>
      <c r="B97" s="361"/>
      <c r="C97" s="361"/>
      <c r="D97" s="363"/>
      <c r="E97" s="364"/>
      <c r="F97" s="372"/>
      <c r="G97" s="372"/>
      <c r="H97" s="373"/>
    </row>
    <row r="99" spans="1:8" x14ac:dyDescent="0.2">
      <c r="A99" s="914" t="s">
        <v>643</v>
      </c>
      <c r="B99" s="914"/>
      <c r="C99" s="914"/>
      <c r="D99" s="914"/>
      <c r="E99" s="914"/>
      <c r="F99" s="914"/>
      <c r="G99" s="914"/>
      <c r="H99" s="914"/>
    </row>
    <row r="100" spans="1:8" ht="13.5" thickBot="1" x14ac:dyDescent="0.25">
      <c r="A100" s="250"/>
      <c r="C100" s="263"/>
      <c r="D100" s="180"/>
      <c r="E100" s="187"/>
      <c r="F100" s="187"/>
      <c r="G100" s="187"/>
      <c r="H100" s="187"/>
    </row>
    <row r="101" spans="1:8" x14ac:dyDescent="0.2">
      <c r="A101" s="915" t="s">
        <v>243</v>
      </c>
      <c r="B101" s="916"/>
      <c r="C101" s="314" t="s">
        <v>167</v>
      </c>
      <c r="D101" s="917">
        <v>0</v>
      </c>
      <c r="E101" s="918"/>
      <c r="F101" s="231">
        <v>0</v>
      </c>
      <c r="G101" s="231">
        <v>0</v>
      </c>
      <c r="H101" s="315">
        <v>0</v>
      </c>
    </row>
    <row r="102" spans="1:8" x14ac:dyDescent="0.2">
      <c r="A102" s="904" t="s">
        <v>244</v>
      </c>
      <c r="B102" s="905"/>
      <c r="C102" s="316" t="s">
        <v>167</v>
      </c>
      <c r="D102" s="906">
        <f>854760+D109</f>
        <v>889280</v>
      </c>
      <c r="E102" s="907"/>
      <c r="F102" s="189">
        <f>1431022+F109</f>
        <v>1493158</v>
      </c>
      <c r="G102" s="189">
        <f>273140.202+G109</f>
        <v>285064.1004</v>
      </c>
      <c r="H102" s="317">
        <f>1714500.438+H109</f>
        <v>1789182.2964000001</v>
      </c>
    </row>
    <row r="103" spans="1:8" x14ac:dyDescent="0.2">
      <c r="A103" s="904" t="s">
        <v>245</v>
      </c>
      <c r="B103" s="905"/>
      <c r="C103" s="316" t="s">
        <v>167</v>
      </c>
      <c r="D103" s="906">
        <v>0</v>
      </c>
      <c r="E103" s="907"/>
      <c r="F103" s="189">
        <v>0</v>
      </c>
      <c r="G103" s="189">
        <v>0</v>
      </c>
      <c r="H103" s="317">
        <v>0</v>
      </c>
    </row>
    <row r="104" spans="1:8" x14ac:dyDescent="0.2">
      <c r="A104" s="904" t="s">
        <v>246</v>
      </c>
      <c r="B104" s="905"/>
      <c r="C104" s="316" t="s">
        <v>167</v>
      </c>
      <c r="D104" s="906">
        <v>0</v>
      </c>
      <c r="E104" s="907"/>
      <c r="F104" s="189">
        <v>0</v>
      </c>
      <c r="G104" s="189">
        <v>0</v>
      </c>
      <c r="H104" s="317">
        <v>0</v>
      </c>
    </row>
    <row r="105" spans="1:8" x14ac:dyDescent="0.2">
      <c r="A105" s="908" t="s">
        <v>76</v>
      </c>
      <c r="B105" s="909"/>
      <c r="C105" s="909"/>
      <c r="D105" s="909"/>
      <c r="E105" s="909"/>
      <c r="F105" s="318">
        <f>SUM(F101:F104)</f>
        <v>1493158</v>
      </c>
      <c r="G105" s="318">
        <f>SUM(G101:G104)</f>
        <v>285064.1004</v>
      </c>
      <c r="H105" s="319">
        <f>SUM(H101:H104)</f>
        <v>1789182.2964000001</v>
      </c>
    </row>
    <row r="106" spans="1:8" x14ac:dyDescent="0.2">
      <c r="A106" s="910" t="s">
        <v>247</v>
      </c>
      <c r="B106" s="911"/>
      <c r="C106" s="911"/>
      <c r="D106" s="911"/>
      <c r="E106" s="911"/>
      <c r="F106" s="911"/>
      <c r="G106" s="911"/>
      <c r="H106" s="319">
        <f>1714500.438+74681.858</f>
        <v>1789182.2960000001</v>
      </c>
    </row>
    <row r="107" spans="1:8" ht="13.5" thickBot="1" x14ac:dyDescent="0.25">
      <c r="A107" s="912" t="s">
        <v>248</v>
      </c>
      <c r="B107" s="913"/>
      <c r="C107" s="913"/>
      <c r="D107" s="913"/>
      <c r="E107" s="913"/>
      <c r="F107" s="913"/>
      <c r="G107" s="913"/>
      <c r="H107" s="320">
        <f>+H105-H106</f>
        <v>4.0000001899898052E-4</v>
      </c>
    </row>
    <row r="108" spans="1:8" ht="13.5" thickBot="1" x14ac:dyDescent="0.25"/>
    <row r="109" spans="1:8" x14ac:dyDescent="0.2">
      <c r="A109" s="510">
        <v>43500</v>
      </c>
      <c r="B109" s="427" t="s">
        <v>174</v>
      </c>
      <c r="C109" s="428" t="s">
        <v>206</v>
      </c>
      <c r="D109" s="429">
        <v>34520</v>
      </c>
      <c r="E109" s="430">
        <v>1.8</v>
      </c>
      <c r="F109" s="430">
        <f>D109*E109</f>
        <v>62136</v>
      </c>
      <c r="G109" s="430">
        <f>F109*1.01*0.19</f>
        <v>11923.8984</v>
      </c>
      <c r="H109" s="431">
        <f>F109*1.01+G109+0.6</f>
        <v>74681.858400000012</v>
      </c>
    </row>
    <row r="110" spans="1:8" x14ac:dyDescent="0.2">
      <c r="A110" s="511"/>
      <c r="B110" s="266"/>
      <c r="C110" s="270"/>
      <c r="D110" s="271"/>
      <c r="E110" s="272"/>
      <c r="F110" s="272"/>
      <c r="G110" s="272"/>
      <c r="H110" s="367"/>
    </row>
    <row r="111" spans="1:8" ht="13.5" thickBot="1" x14ac:dyDescent="0.25">
      <c r="A111" s="512"/>
      <c r="B111" s="361"/>
      <c r="C111" s="361"/>
      <c r="D111" s="363"/>
      <c r="E111" s="364"/>
      <c r="F111" s="372"/>
      <c r="G111" s="372"/>
      <c r="H111" s="373"/>
    </row>
  </sheetData>
  <sortState xmlns:xlrd2="http://schemas.microsoft.com/office/spreadsheetml/2017/richdata2" ref="A13:H63">
    <sortCondition ref="B13:B63"/>
  </sortState>
  <mergeCells count="51">
    <mergeCell ref="A106:G106"/>
    <mergeCell ref="A107:G107"/>
    <mergeCell ref="A103:B103"/>
    <mergeCell ref="D103:E103"/>
    <mergeCell ref="A104:B104"/>
    <mergeCell ref="D104:E104"/>
    <mergeCell ref="A105:E105"/>
    <mergeCell ref="A99:H99"/>
    <mergeCell ref="A101:B101"/>
    <mergeCell ref="D101:E101"/>
    <mergeCell ref="A102:B102"/>
    <mergeCell ref="D102:E102"/>
    <mergeCell ref="D3:E3"/>
    <mergeCell ref="D4:E4"/>
    <mergeCell ref="D5:E5"/>
    <mergeCell ref="D7:E7"/>
    <mergeCell ref="A3:B3"/>
    <mergeCell ref="A4:B4"/>
    <mergeCell ref="A5:B5"/>
    <mergeCell ref="A6:B6"/>
    <mergeCell ref="A7:B7"/>
    <mergeCell ref="A1:H1"/>
    <mergeCell ref="A69:H69"/>
    <mergeCell ref="A71:B71"/>
    <mergeCell ref="D71:E71"/>
    <mergeCell ref="A93:G93"/>
    <mergeCell ref="A89:B89"/>
    <mergeCell ref="D89:E89"/>
    <mergeCell ref="A90:B90"/>
    <mergeCell ref="D90:E90"/>
    <mergeCell ref="A91:E91"/>
    <mergeCell ref="A92:G92"/>
    <mergeCell ref="D6:E6"/>
    <mergeCell ref="A87:B87"/>
    <mergeCell ref="D87:E87"/>
    <mergeCell ref="A88:B88"/>
    <mergeCell ref="D88:E88"/>
    <mergeCell ref="A75:E75"/>
    <mergeCell ref="A77:G77"/>
    <mergeCell ref="A85:H85"/>
    <mergeCell ref="A76:G76"/>
    <mergeCell ref="A73:B73"/>
    <mergeCell ref="D73:E73"/>
    <mergeCell ref="A8:E8"/>
    <mergeCell ref="A10:G10"/>
    <mergeCell ref="A9:G9"/>
    <mergeCell ref="A74:B74"/>
    <mergeCell ref="D74:E74"/>
    <mergeCell ref="A72:B72"/>
    <mergeCell ref="D72:E72"/>
    <mergeCell ref="A12:H12"/>
  </mergeCells>
  <pageMargins left="0.70866141732283472" right="0.70866141732283472" top="0.21" bottom="3.937007874015748E-2" header="0.17" footer="0.22"/>
  <pageSetup paperSize="9" orientation="portrait" horizontalDpi="180" verticalDpi="180" r:id="rId1"/>
  <ignoredErrors>
    <ignoredError sqref="E74 E72 E73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064"/>
  <sheetViews>
    <sheetView topLeftCell="A86" workbookViewId="0">
      <selection activeCell="D105" sqref="D105"/>
    </sheetView>
  </sheetViews>
  <sheetFormatPr baseColWidth="10" defaultRowHeight="15" x14ac:dyDescent="0.25"/>
  <cols>
    <col min="1" max="1" width="12" bestFit="1" customWidth="1"/>
    <col min="2" max="2" width="33.5703125" bestFit="1" customWidth="1"/>
    <col min="3" max="3" width="10.7109375" bestFit="1" customWidth="1"/>
    <col min="4" max="4" width="14.140625" style="28" bestFit="1" customWidth="1"/>
  </cols>
  <sheetData>
    <row r="1" spans="1:4" s="733" customFormat="1" ht="15.75" thickBot="1" x14ac:dyDescent="0.3">
      <c r="A1" s="736" t="s">
        <v>268</v>
      </c>
      <c r="B1" s="735" t="s">
        <v>269</v>
      </c>
      <c r="C1" s="735" t="s">
        <v>1065</v>
      </c>
      <c r="D1" s="734" t="s">
        <v>11</v>
      </c>
    </row>
    <row r="2" spans="1:4" x14ac:dyDescent="0.25">
      <c r="A2" t="s">
        <v>511</v>
      </c>
      <c r="B2" t="s">
        <v>512</v>
      </c>
      <c r="C2" s="69">
        <v>43830</v>
      </c>
      <c r="D2" s="28">
        <v>4000</v>
      </c>
    </row>
    <row r="3" spans="1:4" x14ac:dyDescent="0.25">
      <c r="A3" t="s">
        <v>441</v>
      </c>
      <c r="B3" t="s">
        <v>442</v>
      </c>
      <c r="C3" s="69">
        <v>43830</v>
      </c>
      <c r="D3" s="28">
        <v>5000</v>
      </c>
    </row>
    <row r="4" spans="1:4" x14ac:dyDescent="0.25">
      <c r="A4" t="s">
        <v>933</v>
      </c>
      <c r="B4" t="s">
        <v>803</v>
      </c>
      <c r="C4" s="69">
        <v>43830</v>
      </c>
      <c r="D4" s="28">
        <v>2946.4209999999998</v>
      </c>
    </row>
    <row r="5" spans="1:4" x14ac:dyDescent="0.25">
      <c r="A5" t="s">
        <v>477</v>
      </c>
      <c r="B5" t="s">
        <v>478</v>
      </c>
      <c r="C5" s="69">
        <v>43830</v>
      </c>
      <c r="D5" s="28">
        <v>1769</v>
      </c>
    </row>
    <row r="6" spans="1:4" x14ac:dyDescent="0.25">
      <c r="A6" t="s">
        <v>271</v>
      </c>
      <c r="B6" t="s">
        <v>272</v>
      </c>
      <c r="C6" s="69">
        <v>43830</v>
      </c>
      <c r="D6" s="28">
        <v>2000</v>
      </c>
    </row>
    <row r="7" spans="1:4" x14ac:dyDescent="0.25">
      <c r="A7" t="s">
        <v>389</v>
      </c>
      <c r="B7" t="s">
        <v>390</v>
      </c>
      <c r="C7" s="69">
        <v>43830</v>
      </c>
      <c r="D7" s="28">
        <v>1033.9000000000001</v>
      </c>
    </row>
    <row r="8" spans="1:4" x14ac:dyDescent="0.25">
      <c r="A8" t="s">
        <v>968</v>
      </c>
      <c r="B8" t="s">
        <v>454</v>
      </c>
      <c r="C8" s="69">
        <v>43830</v>
      </c>
      <c r="D8" s="28">
        <v>3953.9250000000002</v>
      </c>
    </row>
    <row r="9" spans="1:4" x14ac:dyDescent="0.25">
      <c r="A9" t="s">
        <v>710</v>
      </c>
      <c r="B9" t="s">
        <v>709</v>
      </c>
      <c r="C9" s="69">
        <v>43830</v>
      </c>
      <c r="D9" s="28">
        <v>4589.835</v>
      </c>
    </row>
    <row r="10" spans="1:4" x14ac:dyDescent="0.25">
      <c r="A10" t="s">
        <v>742</v>
      </c>
      <c r="B10" t="s">
        <v>741</v>
      </c>
      <c r="C10" s="69">
        <v>43830</v>
      </c>
      <c r="D10" s="28">
        <v>7557.6480000000001</v>
      </c>
    </row>
    <row r="11" spans="1:4" x14ac:dyDescent="0.25">
      <c r="A11" t="s">
        <v>813</v>
      </c>
      <c r="B11" t="s">
        <v>420</v>
      </c>
      <c r="C11" s="69">
        <v>43830</v>
      </c>
      <c r="D11" s="28">
        <v>939.03399999999999</v>
      </c>
    </row>
    <row r="12" spans="1:4" x14ac:dyDescent="0.25">
      <c r="A12" t="s">
        <v>418</v>
      </c>
      <c r="B12" t="s">
        <v>419</v>
      </c>
      <c r="C12" s="69">
        <v>43830</v>
      </c>
      <c r="D12" s="28">
        <v>9847.8819999999996</v>
      </c>
    </row>
    <row r="13" spans="1:4" x14ac:dyDescent="0.25">
      <c r="A13" t="s">
        <v>729</v>
      </c>
      <c r="B13" t="s">
        <v>384</v>
      </c>
      <c r="C13" s="69">
        <v>43830</v>
      </c>
      <c r="D13" s="28">
        <v>1325.2460000000001</v>
      </c>
    </row>
    <row r="14" spans="1:4" x14ac:dyDescent="0.25">
      <c r="A14" t="s">
        <v>850</v>
      </c>
      <c r="B14" t="s">
        <v>849</v>
      </c>
      <c r="C14" s="69">
        <v>43830</v>
      </c>
      <c r="D14" s="28">
        <v>5921.9040000000005</v>
      </c>
    </row>
    <row r="15" spans="1:4" x14ac:dyDescent="0.25">
      <c r="A15" t="s">
        <v>306</v>
      </c>
      <c r="B15" t="s">
        <v>307</v>
      </c>
      <c r="C15" s="69">
        <v>43830</v>
      </c>
      <c r="D15" s="28">
        <v>7123.1869999999999</v>
      </c>
    </row>
    <row r="16" spans="1:4" x14ac:dyDescent="0.25">
      <c r="A16" t="s">
        <v>592</v>
      </c>
      <c r="B16" t="s">
        <v>591</v>
      </c>
      <c r="C16" s="69">
        <v>43830</v>
      </c>
      <c r="D16" s="28">
        <v>2726.105</v>
      </c>
    </row>
    <row r="17" spans="1:4" x14ac:dyDescent="0.25">
      <c r="A17" t="s">
        <v>416</v>
      </c>
      <c r="B17" t="s">
        <v>417</v>
      </c>
      <c r="C17" s="69">
        <v>43830</v>
      </c>
      <c r="D17" s="28">
        <v>753.51400000000001</v>
      </c>
    </row>
    <row r="18" spans="1:4" x14ac:dyDescent="0.25">
      <c r="A18" t="s">
        <v>896</v>
      </c>
      <c r="B18" t="s">
        <v>895</v>
      </c>
      <c r="C18" s="69">
        <v>43830</v>
      </c>
      <c r="D18" s="28">
        <v>2201.9450000000002</v>
      </c>
    </row>
    <row r="19" spans="1:4" x14ac:dyDescent="0.25">
      <c r="A19" t="s">
        <v>277</v>
      </c>
      <c r="B19" t="s">
        <v>278</v>
      </c>
      <c r="C19" s="69">
        <v>43830</v>
      </c>
      <c r="D19" s="28">
        <v>895.20299999999997</v>
      </c>
    </row>
    <row r="20" spans="1:4" x14ac:dyDescent="0.25">
      <c r="A20" t="s">
        <v>280</v>
      </c>
      <c r="B20" t="s">
        <v>281</v>
      </c>
      <c r="C20" s="69">
        <v>43830</v>
      </c>
      <c r="D20" s="28">
        <v>3428.0970000000002</v>
      </c>
    </row>
    <row r="21" spans="1:4" x14ac:dyDescent="0.25">
      <c r="A21" t="s">
        <v>589</v>
      </c>
      <c r="B21" t="s">
        <v>588</v>
      </c>
      <c r="C21" s="69">
        <v>43830</v>
      </c>
      <c r="D21" s="28">
        <v>1489.1220000000001</v>
      </c>
    </row>
    <row r="22" spans="1:4" x14ac:dyDescent="0.25">
      <c r="A22" t="s">
        <v>717</v>
      </c>
      <c r="B22" t="s">
        <v>716</v>
      </c>
      <c r="C22" s="69">
        <v>43830</v>
      </c>
      <c r="D22" s="28">
        <v>4457.692</v>
      </c>
    </row>
    <row r="23" spans="1:4" x14ac:dyDescent="0.25">
      <c r="A23" t="s">
        <v>1374</v>
      </c>
      <c r="B23" t="s">
        <v>1373</v>
      </c>
      <c r="C23" s="69">
        <v>43830</v>
      </c>
      <c r="D23" s="28">
        <v>1565.4290000000001</v>
      </c>
    </row>
    <row r="24" spans="1:4" x14ac:dyDescent="0.25">
      <c r="A24" t="s">
        <v>1376</v>
      </c>
      <c r="B24" t="s">
        <v>1375</v>
      </c>
      <c r="C24" s="69">
        <v>43830</v>
      </c>
      <c r="D24" s="28">
        <v>1470.116</v>
      </c>
    </row>
    <row r="25" spans="1:4" x14ac:dyDescent="0.25">
      <c r="A25" t="s">
        <v>1451</v>
      </c>
      <c r="B25" t="s">
        <v>1450</v>
      </c>
      <c r="C25" s="69">
        <v>43830</v>
      </c>
      <c r="D25" s="28">
        <v>2009.7149999999999</v>
      </c>
    </row>
    <row r="26" spans="1:4" x14ac:dyDescent="0.25">
      <c r="A26" t="s">
        <v>719</v>
      </c>
      <c r="B26" t="s">
        <v>664</v>
      </c>
      <c r="C26" s="69">
        <v>43830</v>
      </c>
      <c r="D26" s="28">
        <v>6305.2830000000004</v>
      </c>
    </row>
    <row r="27" spans="1:4" x14ac:dyDescent="0.25">
      <c r="A27" t="s">
        <v>830</v>
      </c>
      <c r="B27" t="s">
        <v>668</v>
      </c>
      <c r="C27" s="69">
        <v>43830</v>
      </c>
      <c r="D27" s="28">
        <v>850</v>
      </c>
    </row>
    <row r="28" spans="1:4" x14ac:dyDescent="0.25">
      <c r="A28" t="s">
        <v>339</v>
      </c>
      <c r="B28" t="s">
        <v>340</v>
      </c>
      <c r="C28" s="69">
        <v>43830</v>
      </c>
      <c r="D28" s="28">
        <v>950</v>
      </c>
    </row>
    <row r="29" spans="1:4" x14ac:dyDescent="0.25">
      <c r="A29" t="s">
        <v>738</v>
      </c>
      <c r="B29" t="s">
        <v>392</v>
      </c>
      <c r="C29" s="69">
        <v>43830</v>
      </c>
      <c r="D29" s="28">
        <v>10774.528</v>
      </c>
    </row>
    <row r="30" spans="1:4" x14ac:dyDescent="0.25">
      <c r="A30" t="s">
        <v>644</v>
      </c>
      <c r="B30" t="s">
        <v>275</v>
      </c>
      <c r="C30" s="69">
        <v>43830</v>
      </c>
      <c r="D30" s="28">
        <v>3000</v>
      </c>
    </row>
    <row r="31" spans="1:4" x14ac:dyDescent="0.25">
      <c r="A31" t="s">
        <v>721</v>
      </c>
      <c r="B31" t="s">
        <v>462</v>
      </c>
      <c r="C31" s="69">
        <v>43830</v>
      </c>
      <c r="D31" s="28">
        <v>1688</v>
      </c>
    </row>
    <row r="32" spans="1:4" x14ac:dyDescent="0.25">
      <c r="A32" t="s">
        <v>882</v>
      </c>
      <c r="B32" t="s">
        <v>672</v>
      </c>
      <c r="C32" s="69">
        <v>43830</v>
      </c>
      <c r="D32" s="28">
        <v>2310</v>
      </c>
    </row>
    <row r="33" spans="1:4" x14ac:dyDescent="0.25">
      <c r="A33" t="s">
        <v>884</v>
      </c>
      <c r="B33" t="s">
        <v>395</v>
      </c>
      <c r="C33" s="69">
        <v>43830</v>
      </c>
      <c r="D33" s="28">
        <v>1413.7249999999999</v>
      </c>
    </row>
    <row r="34" spans="1:4" x14ac:dyDescent="0.25">
      <c r="A34" t="s">
        <v>859</v>
      </c>
      <c r="B34" t="s">
        <v>698</v>
      </c>
      <c r="C34" s="69">
        <v>43830</v>
      </c>
      <c r="D34" s="28">
        <v>6040.0479999999998</v>
      </c>
    </row>
    <row r="35" spans="1:4" x14ac:dyDescent="0.25">
      <c r="A35" t="s">
        <v>363</v>
      </c>
      <c r="B35" t="s">
        <v>364</v>
      </c>
      <c r="C35" s="69">
        <v>43830</v>
      </c>
      <c r="D35" s="28">
        <v>1075.9749999999999</v>
      </c>
    </row>
    <row r="36" spans="1:4" x14ac:dyDescent="0.25">
      <c r="A36" t="s">
        <v>489</v>
      </c>
      <c r="B36" t="s">
        <v>403</v>
      </c>
      <c r="C36" s="69">
        <v>43830</v>
      </c>
      <c r="D36" s="28">
        <v>1043.0150000000001</v>
      </c>
    </row>
    <row r="37" spans="1:4" x14ac:dyDescent="0.25">
      <c r="A37" t="s">
        <v>720</v>
      </c>
      <c r="B37" t="s">
        <v>468</v>
      </c>
      <c r="C37" s="69">
        <v>43830</v>
      </c>
      <c r="D37" s="28">
        <v>4895.1379999999999</v>
      </c>
    </row>
    <row r="38" spans="1:4" x14ac:dyDescent="0.25">
      <c r="A38" t="s">
        <v>890</v>
      </c>
      <c r="B38" t="s">
        <v>324</v>
      </c>
      <c r="C38" s="69">
        <v>43830</v>
      </c>
      <c r="D38" s="28">
        <v>1824.894</v>
      </c>
    </row>
    <row r="39" spans="1:4" x14ac:dyDescent="0.25">
      <c r="A39" t="s">
        <v>834</v>
      </c>
      <c r="B39" t="s">
        <v>314</v>
      </c>
      <c r="C39" s="69">
        <v>43830</v>
      </c>
      <c r="D39" s="28">
        <v>354.08600000000001</v>
      </c>
    </row>
    <row r="40" spans="1:4" x14ac:dyDescent="0.25">
      <c r="A40" t="s">
        <v>996</v>
      </c>
      <c r="B40" t="s">
        <v>949</v>
      </c>
      <c r="C40" s="69">
        <v>43830</v>
      </c>
      <c r="D40" s="28">
        <v>860.13499999999999</v>
      </c>
    </row>
    <row r="41" spans="1:4" x14ac:dyDescent="0.25">
      <c r="A41" t="s">
        <v>995</v>
      </c>
      <c r="B41" t="s">
        <v>397</v>
      </c>
      <c r="C41" s="69">
        <v>43830</v>
      </c>
      <c r="D41" s="28">
        <v>3535.674</v>
      </c>
    </row>
    <row r="42" spans="1:4" x14ac:dyDescent="0.25">
      <c r="A42" t="s">
        <v>740</v>
      </c>
      <c r="B42" t="s">
        <v>323</v>
      </c>
      <c r="C42" s="69">
        <v>43830</v>
      </c>
      <c r="D42" s="28">
        <v>1534.4380000000001</v>
      </c>
    </row>
    <row r="43" spans="1:4" x14ac:dyDescent="0.25">
      <c r="A43" t="s">
        <v>746</v>
      </c>
      <c r="B43" t="s">
        <v>469</v>
      </c>
      <c r="C43" s="69">
        <v>43830</v>
      </c>
      <c r="D43" s="28">
        <v>3413.306</v>
      </c>
    </row>
    <row r="44" spans="1:4" x14ac:dyDescent="0.25">
      <c r="A44" t="s">
        <v>1052</v>
      </c>
      <c r="B44" t="s">
        <v>1051</v>
      </c>
      <c r="C44" s="69">
        <v>43830</v>
      </c>
      <c r="D44" s="28">
        <v>265.702</v>
      </c>
    </row>
    <row r="45" spans="1:4" x14ac:dyDescent="0.25">
      <c r="A45" t="s">
        <v>1050</v>
      </c>
      <c r="B45" t="s">
        <v>393</v>
      </c>
      <c r="C45" s="69">
        <v>43830</v>
      </c>
      <c r="D45" s="28">
        <v>2134.9839999999999</v>
      </c>
    </row>
    <row r="46" spans="1:4" x14ac:dyDescent="0.25">
      <c r="A46" t="s">
        <v>881</v>
      </c>
      <c r="B46" t="s">
        <v>781</v>
      </c>
      <c r="C46" s="69">
        <v>43830</v>
      </c>
      <c r="D46" s="28">
        <v>4251.5569999999998</v>
      </c>
    </row>
    <row r="47" spans="1:4" x14ac:dyDescent="0.25">
      <c r="A47" t="s">
        <v>655</v>
      </c>
      <c r="B47" t="s">
        <v>654</v>
      </c>
      <c r="C47" s="69">
        <v>43830</v>
      </c>
      <c r="D47" s="28">
        <v>5319.9539999999997</v>
      </c>
    </row>
    <row r="48" spans="1:4" x14ac:dyDescent="0.25">
      <c r="A48" t="s">
        <v>505</v>
      </c>
      <c r="B48" t="s">
        <v>509</v>
      </c>
      <c r="C48" s="69">
        <v>43830</v>
      </c>
      <c r="D48" s="28">
        <v>1563.248</v>
      </c>
    </row>
    <row r="49" spans="1:4" x14ac:dyDescent="0.25">
      <c r="A49" t="s">
        <v>1049</v>
      </c>
      <c r="B49" t="s">
        <v>613</v>
      </c>
      <c r="C49" s="69">
        <v>43830</v>
      </c>
      <c r="D49" s="28">
        <v>3761.9789999999998</v>
      </c>
    </row>
    <row r="50" spans="1:4" x14ac:dyDescent="0.25">
      <c r="A50" t="s">
        <v>1048</v>
      </c>
      <c r="B50" t="s">
        <v>711</v>
      </c>
      <c r="C50" s="69">
        <v>43830</v>
      </c>
      <c r="D50" s="28">
        <v>1972.5809999999999</v>
      </c>
    </row>
    <row r="51" spans="1:4" x14ac:dyDescent="0.25">
      <c r="A51" t="s">
        <v>593</v>
      </c>
      <c r="B51" t="s">
        <v>675</v>
      </c>
      <c r="C51" s="69">
        <v>43830</v>
      </c>
      <c r="D51" s="28">
        <v>1289.3699999999999</v>
      </c>
    </row>
    <row r="52" spans="1:4" x14ac:dyDescent="0.25">
      <c r="A52" t="s">
        <v>734</v>
      </c>
      <c r="B52" t="s">
        <v>401</v>
      </c>
      <c r="C52" s="69">
        <v>43830</v>
      </c>
      <c r="D52" s="28">
        <v>1000</v>
      </c>
    </row>
    <row r="53" spans="1:4" x14ac:dyDescent="0.25">
      <c r="A53" t="s">
        <v>973</v>
      </c>
      <c r="B53" t="s">
        <v>296</v>
      </c>
      <c r="C53" s="69">
        <v>43830</v>
      </c>
      <c r="D53" s="28">
        <v>3200</v>
      </c>
    </row>
    <row r="54" spans="1:4" x14ac:dyDescent="0.25">
      <c r="A54" t="s">
        <v>893</v>
      </c>
      <c r="B54" t="s">
        <v>353</v>
      </c>
      <c r="C54" s="69">
        <v>43830</v>
      </c>
      <c r="D54" s="28">
        <v>1132.8</v>
      </c>
    </row>
    <row r="55" spans="1:4" x14ac:dyDescent="0.25">
      <c r="A55" t="s">
        <v>878</v>
      </c>
      <c r="B55" t="s">
        <v>466</v>
      </c>
      <c r="C55" s="69">
        <v>43830</v>
      </c>
      <c r="D55" s="28">
        <v>4672.3850000000002</v>
      </c>
    </row>
    <row r="56" spans="1:4" x14ac:dyDescent="0.25">
      <c r="A56" t="s">
        <v>898</v>
      </c>
      <c r="B56" t="s">
        <v>897</v>
      </c>
      <c r="C56" s="69">
        <v>43830</v>
      </c>
      <c r="D56" s="28">
        <v>2859.3710000000001</v>
      </c>
    </row>
    <row r="57" spans="1:4" x14ac:dyDescent="0.25">
      <c r="A57" t="s">
        <v>890</v>
      </c>
      <c r="B57" t="s">
        <v>324</v>
      </c>
      <c r="C57" s="69">
        <v>43830</v>
      </c>
      <c r="D57" s="28">
        <v>356.41</v>
      </c>
    </row>
    <row r="58" spans="1:4" x14ac:dyDescent="0.25">
      <c r="A58" t="s">
        <v>846</v>
      </c>
      <c r="B58" t="s">
        <v>361</v>
      </c>
      <c r="C58" s="69">
        <v>43830</v>
      </c>
      <c r="D58" s="28">
        <v>1004.841</v>
      </c>
    </row>
    <row r="59" spans="1:4" x14ac:dyDescent="0.25">
      <c r="A59" t="s">
        <v>568</v>
      </c>
      <c r="B59" t="s">
        <v>555</v>
      </c>
      <c r="C59" s="69">
        <v>43830</v>
      </c>
      <c r="D59" s="28">
        <v>812.89700000000005</v>
      </c>
    </row>
    <row r="60" spans="1:4" x14ac:dyDescent="0.25">
      <c r="A60" t="s">
        <v>1080</v>
      </c>
      <c r="B60" t="s">
        <v>699</v>
      </c>
      <c r="C60" s="69">
        <v>43830</v>
      </c>
      <c r="D60" s="28">
        <v>1729.818</v>
      </c>
    </row>
    <row r="61" spans="1:4" x14ac:dyDescent="0.25">
      <c r="A61" t="s">
        <v>985</v>
      </c>
      <c r="B61" t="s">
        <v>398</v>
      </c>
      <c r="C61" s="69">
        <v>43830</v>
      </c>
      <c r="D61" s="28">
        <v>3510.489</v>
      </c>
    </row>
    <row r="62" spans="1:4" x14ac:dyDescent="0.25">
      <c r="A62" t="s">
        <v>718</v>
      </c>
      <c r="B62" t="s">
        <v>372</v>
      </c>
      <c r="C62" s="69">
        <v>43830</v>
      </c>
      <c r="D62" s="28">
        <v>1556.1679999999999</v>
      </c>
    </row>
    <row r="63" spans="1:4" x14ac:dyDescent="0.25">
      <c r="A63" t="s">
        <v>802</v>
      </c>
      <c r="B63" t="s">
        <v>285</v>
      </c>
      <c r="C63" s="69">
        <v>43830</v>
      </c>
      <c r="D63" s="28">
        <v>1925.48</v>
      </c>
    </row>
    <row r="64" spans="1:4" x14ac:dyDescent="0.25">
      <c r="A64" t="s">
        <v>1081</v>
      </c>
      <c r="B64" t="s">
        <v>786</v>
      </c>
      <c r="C64" s="69">
        <v>43830</v>
      </c>
      <c r="D64" s="28">
        <v>647.81100000000004</v>
      </c>
    </row>
    <row r="65" spans="1:4" x14ac:dyDescent="0.25">
      <c r="A65" t="s">
        <v>1082</v>
      </c>
      <c r="B65" t="s">
        <v>360</v>
      </c>
      <c r="C65" s="69">
        <v>43830</v>
      </c>
      <c r="D65" s="28">
        <v>441.54300000000001</v>
      </c>
    </row>
    <row r="66" spans="1:4" x14ac:dyDescent="0.25">
      <c r="A66" t="s">
        <v>844</v>
      </c>
      <c r="B66" t="s">
        <v>503</v>
      </c>
      <c r="C66" s="69">
        <v>43830</v>
      </c>
      <c r="D66" s="28">
        <v>251.75</v>
      </c>
    </row>
    <row r="67" spans="1:4" x14ac:dyDescent="0.25">
      <c r="A67" t="s">
        <v>1145</v>
      </c>
      <c r="B67" t="s">
        <v>1061</v>
      </c>
      <c r="C67" s="69">
        <v>43830</v>
      </c>
      <c r="D67" s="28">
        <v>478.80200000000002</v>
      </c>
    </row>
    <row r="68" spans="1:4" s="730" customFormat="1" x14ac:dyDescent="0.25">
      <c r="A68" t="s">
        <v>1206</v>
      </c>
      <c r="B68" t="s">
        <v>1077</v>
      </c>
      <c r="C68" s="69">
        <v>43830</v>
      </c>
      <c r="D68" s="28">
        <v>553.98</v>
      </c>
    </row>
    <row r="69" spans="1:4" x14ac:dyDescent="0.25">
      <c r="A69" t="s">
        <v>1250</v>
      </c>
      <c r="B69" t="s">
        <v>1249</v>
      </c>
      <c r="C69" s="69">
        <v>43830</v>
      </c>
      <c r="D69" s="28">
        <v>301.80500000000001</v>
      </c>
    </row>
    <row r="70" spans="1:4" x14ac:dyDescent="0.25">
      <c r="A70" t="s">
        <v>1299</v>
      </c>
      <c r="B70" t="s">
        <v>1298</v>
      </c>
      <c r="C70" s="69">
        <v>43830</v>
      </c>
      <c r="D70" s="28">
        <v>1062.7049999999999</v>
      </c>
    </row>
    <row r="71" spans="1:4" x14ac:dyDescent="0.25">
      <c r="A71" t="s">
        <v>1372</v>
      </c>
      <c r="B71" t="s">
        <v>1371</v>
      </c>
      <c r="C71" s="69">
        <v>43830</v>
      </c>
      <c r="D71" s="28">
        <v>1397.8989999999999</v>
      </c>
    </row>
    <row r="72" spans="1:4" x14ac:dyDescent="0.25">
      <c r="A72" t="s">
        <v>1370</v>
      </c>
      <c r="B72" t="s">
        <v>1369</v>
      </c>
      <c r="C72" s="69">
        <v>43830</v>
      </c>
      <c r="D72" s="28">
        <v>903.87</v>
      </c>
    </row>
    <row r="73" spans="1:4" x14ac:dyDescent="0.25">
      <c r="A73" t="s">
        <v>1449</v>
      </c>
      <c r="B73" t="s">
        <v>1001</v>
      </c>
      <c r="C73" s="69">
        <v>43830</v>
      </c>
      <c r="D73" s="28">
        <v>130.756</v>
      </c>
    </row>
    <row r="74" spans="1:4" x14ac:dyDescent="0.25">
      <c r="A74" t="s">
        <v>425</v>
      </c>
      <c r="B74" t="s">
        <v>426</v>
      </c>
      <c r="C74" s="69">
        <v>43830</v>
      </c>
      <c r="D74" s="28">
        <v>3976.2280000000001</v>
      </c>
    </row>
    <row r="75" spans="1:4" x14ac:dyDescent="0.25">
      <c r="A75" t="s">
        <v>408</v>
      </c>
      <c r="B75" t="s">
        <v>409</v>
      </c>
      <c r="C75" s="69">
        <v>43830</v>
      </c>
      <c r="D75" s="28">
        <v>1862.825</v>
      </c>
    </row>
    <row r="76" spans="1:4" x14ac:dyDescent="0.25">
      <c r="A76" t="s">
        <v>336</v>
      </c>
      <c r="B76" t="s">
        <v>337</v>
      </c>
      <c r="C76" s="69">
        <v>43830</v>
      </c>
      <c r="D76" s="28">
        <v>3502.74</v>
      </c>
    </row>
    <row r="77" spans="1:4" x14ac:dyDescent="0.25">
      <c r="A77" t="s">
        <v>342</v>
      </c>
      <c r="B77" t="s">
        <v>343</v>
      </c>
      <c r="C77" s="69">
        <v>43830</v>
      </c>
      <c r="D77" s="28">
        <v>2458.4229999999998</v>
      </c>
    </row>
    <row r="78" spans="1:4" x14ac:dyDescent="0.25">
      <c r="A78" t="s">
        <v>297</v>
      </c>
      <c r="B78" t="s">
        <v>298</v>
      </c>
      <c r="C78" s="69">
        <v>43830</v>
      </c>
      <c r="D78" s="28">
        <v>1644.0239999999999</v>
      </c>
    </row>
    <row r="79" spans="1:4" x14ac:dyDescent="0.25">
      <c r="A79" t="s">
        <v>450</v>
      </c>
      <c r="B79" t="s">
        <v>451</v>
      </c>
      <c r="C79" s="69">
        <v>43830</v>
      </c>
      <c r="D79" s="28">
        <v>4446.018</v>
      </c>
    </row>
    <row r="80" spans="1:4" x14ac:dyDescent="0.25">
      <c r="A80" t="s">
        <v>970</v>
      </c>
      <c r="B80" t="s">
        <v>969</v>
      </c>
      <c r="C80" s="69">
        <v>43830</v>
      </c>
      <c r="D80" s="28">
        <v>2604.5140000000001</v>
      </c>
    </row>
    <row r="81" spans="1:4" x14ac:dyDescent="0.25">
      <c r="A81" t="s">
        <v>406</v>
      </c>
      <c r="B81" t="s">
        <v>407</v>
      </c>
      <c r="C81" s="69">
        <v>43830</v>
      </c>
      <c r="D81" s="28">
        <v>5390.6940000000004</v>
      </c>
    </row>
    <row r="82" spans="1:4" x14ac:dyDescent="0.25">
      <c r="A82" t="s">
        <v>413</v>
      </c>
      <c r="B82" t="s">
        <v>414</v>
      </c>
      <c r="C82" s="69">
        <v>43830</v>
      </c>
      <c r="D82" s="28">
        <v>2175.8969999999999</v>
      </c>
    </row>
    <row r="83" spans="1:4" x14ac:dyDescent="0.25">
      <c r="A83" t="s">
        <v>349</v>
      </c>
      <c r="B83" t="s">
        <v>350</v>
      </c>
      <c r="C83" s="69">
        <v>43830</v>
      </c>
      <c r="D83" s="28">
        <v>750</v>
      </c>
    </row>
    <row r="84" spans="1:4" x14ac:dyDescent="0.25">
      <c r="A84" t="s">
        <v>328</v>
      </c>
      <c r="B84" t="s">
        <v>329</v>
      </c>
      <c r="C84" s="69">
        <v>43830</v>
      </c>
      <c r="D84" s="28">
        <v>1254.45</v>
      </c>
    </row>
    <row r="85" spans="1:4" x14ac:dyDescent="0.25">
      <c r="A85" t="s">
        <v>347</v>
      </c>
      <c r="B85" t="s">
        <v>348</v>
      </c>
      <c r="C85" s="69">
        <v>43830</v>
      </c>
      <c r="D85" s="28">
        <v>5000</v>
      </c>
    </row>
    <row r="86" spans="1:4" x14ac:dyDescent="0.25">
      <c r="A86" t="s">
        <v>586</v>
      </c>
      <c r="B86" t="s">
        <v>585</v>
      </c>
      <c r="C86" s="69">
        <v>43830</v>
      </c>
      <c r="D86" s="28">
        <v>7541.2380000000003</v>
      </c>
    </row>
    <row r="87" spans="1:4" x14ac:dyDescent="0.25">
      <c r="A87" t="s">
        <v>404</v>
      </c>
      <c r="B87" t="s">
        <v>405</v>
      </c>
      <c r="C87" s="69">
        <v>43830</v>
      </c>
      <c r="D87" s="28">
        <v>3317.1419999999998</v>
      </c>
    </row>
    <row r="88" spans="1:4" x14ac:dyDescent="0.25">
      <c r="A88" t="s">
        <v>659</v>
      </c>
      <c r="B88" t="s">
        <v>658</v>
      </c>
      <c r="C88" s="69">
        <v>43830</v>
      </c>
      <c r="D88" s="28">
        <v>1603.501</v>
      </c>
    </row>
    <row r="89" spans="1:4" x14ac:dyDescent="0.25">
      <c r="A89" t="s">
        <v>1047</v>
      </c>
      <c r="B89" t="s">
        <v>1046</v>
      </c>
      <c r="C89" s="69">
        <v>43830</v>
      </c>
      <c r="D89" s="28">
        <v>248.745</v>
      </c>
    </row>
    <row r="90" spans="1:4" x14ac:dyDescent="0.25">
      <c r="A90" t="s">
        <v>373</v>
      </c>
      <c r="B90" t="s">
        <v>374</v>
      </c>
      <c r="C90" s="69">
        <v>43830</v>
      </c>
      <c r="D90" s="28">
        <v>1023.38</v>
      </c>
    </row>
    <row r="91" spans="1:4" x14ac:dyDescent="0.25">
      <c r="A91" t="s">
        <v>415</v>
      </c>
      <c r="B91" t="s">
        <v>679</v>
      </c>
      <c r="C91" s="69">
        <v>43830</v>
      </c>
      <c r="D91" s="28">
        <v>8630</v>
      </c>
    </row>
    <row r="92" spans="1:4" x14ac:dyDescent="0.25">
      <c r="A92" t="s">
        <v>661</v>
      </c>
      <c r="B92" t="s">
        <v>660</v>
      </c>
      <c r="C92" s="69">
        <v>43830</v>
      </c>
      <c r="D92" s="28">
        <v>2183.6909999999998</v>
      </c>
    </row>
    <row r="93" spans="1:4" x14ac:dyDescent="0.25">
      <c r="A93" t="s">
        <v>1032</v>
      </c>
      <c r="B93" t="s">
        <v>1078</v>
      </c>
      <c r="C93" s="69">
        <v>43830</v>
      </c>
      <c r="D93" s="28">
        <v>4673.5230000000001</v>
      </c>
    </row>
    <row r="94" spans="1:4" x14ac:dyDescent="0.25">
      <c r="A94" t="s">
        <v>599</v>
      </c>
      <c r="B94" t="s">
        <v>598</v>
      </c>
      <c r="C94" s="69">
        <v>43830</v>
      </c>
      <c r="D94" s="28">
        <v>1500</v>
      </c>
    </row>
    <row r="95" spans="1:4" x14ac:dyDescent="0.25">
      <c r="A95" t="s">
        <v>758</v>
      </c>
      <c r="B95" t="s">
        <v>757</v>
      </c>
      <c r="C95" s="69">
        <v>43830</v>
      </c>
      <c r="D95" s="28">
        <v>794.89</v>
      </c>
    </row>
    <row r="96" spans="1:4" x14ac:dyDescent="0.25">
      <c r="A96" t="s">
        <v>1297</v>
      </c>
      <c r="B96" t="s">
        <v>1296</v>
      </c>
      <c r="C96" s="69">
        <v>43830</v>
      </c>
      <c r="D96" s="28">
        <v>430.79</v>
      </c>
    </row>
    <row r="97" spans="1:4" x14ac:dyDescent="0.25">
      <c r="A97" t="s">
        <v>800</v>
      </c>
      <c r="B97" t="s">
        <v>799</v>
      </c>
      <c r="C97" s="69">
        <v>43830</v>
      </c>
      <c r="D97" s="28">
        <v>1874.35</v>
      </c>
    </row>
    <row r="98" spans="1:4" x14ac:dyDescent="0.25">
      <c r="A98" t="s">
        <v>625</v>
      </c>
      <c r="B98" t="s">
        <v>674</v>
      </c>
      <c r="C98" s="69">
        <v>43830</v>
      </c>
      <c r="D98" s="28">
        <v>3000</v>
      </c>
    </row>
    <row r="99" spans="1:4" x14ac:dyDescent="0.25">
      <c r="A99" t="s">
        <v>713</v>
      </c>
      <c r="B99" t="s">
        <v>712</v>
      </c>
      <c r="C99" s="69">
        <v>43830</v>
      </c>
      <c r="D99" s="28">
        <v>3985.8119999999999</v>
      </c>
    </row>
    <row r="100" spans="1:4" x14ac:dyDescent="0.25">
      <c r="A100" t="s">
        <v>345</v>
      </c>
      <c r="B100" t="s">
        <v>346</v>
      </c>
      <c r="C100" s="69">
        <v>43830</v>
      </c>
      <c r="D100" s="28">
        <v>1400</v>
      </c>
    </row>
    <row r="101" spans="1:4" x14ac:dyDescent="0.25">
      <c r="A101" t="s">
        <v>892</v>
      </c>
      <c r="B101" t="s">
        <v>891</v>
      </c>
      <c r="C101" s="69">
        <v>43830</v>
      </c>
      <c r="D101" s="28">
        <v>2951.49</v>
      </c>
    </row>
    <row r="102" spans="1:4" x14ac:dyDescent="0.25">
      <c r="A102" t="s">
        <v>1045</v>
      </c>
      <c r="B102" t="s">
        <v>1044</v>
      </c>
      <c r="C102" s="69">
        <v>43830</v>
      </c>
      <c r="D102" s="28">
        <v>4688.7219999999998</v>
      </c>
    </row>
    <row r="103" spans="1:4" x14ac:dyDescent="0.25">
      <c r="A103" t="s">
        <v>1207</v>
      </c>
      <c r="B103" t="s">
        <v>983</v>
      </c>
      <c r="C103" s="69">
        <v>43830</v>
      </c>
      <c r="D103" s="28">
        <v>1117.3330000000001</v>
      </c>
    </row>
    <row r="104" spans="1:4" ht="15.75" thickBot="1" x14ac:dyDescent="0.3">
      <c r="A104" t="s">
        <v>856</v>
      </c>
      <c r="B104" t="s">
        <v>855</v>
      </c>
      <c r="C104" s="69">
        <v>43830</v>
      </c>
      <c r="D104" s="28">
        <v>293.39999999999998</v>
      </c>
    </row>
    <row r="105" spans="1:4" ht="15.75" thickBot="1" x14ac:dyDescent="0.3">
      <c r="A105" s="1002" t="s">
        <v>837</v>
      </c>
      <c r="B105" s="1003"/>
      <c r="C105" s="1003"/>
      <c r="D105" s="732">
        <f>SUM(D2:D104)</f>
        <v>267687.94</v>
      </c>
    </row>
    <row r="106" spans="1:4" x14ac:dyDescent="0.25">
      <c r="A106" t="s">
        <v>653</v>
      </c>
      <c r="B106" t="s">
        <v>542</v>
      </c>
      <c r="C106" s="69">
        <v>43831</v>
      </c>
      <c r="D106" s="28">
        <v>484.95400000000001</v>
      </c>
    </row>
    <row r="107" spans="1:4" x14ac:dyDescent="0.25">
      <c r="A107" t="s">
        <v>294</v>
      </c>
      <c r="B107" t="s">
        <v>295</v>
      </c>
      <c r="C107" s="69">
        <v>43831</v>
      </c>
      <c r="D107" s="28">
        <v>825</v>
      </c>
    </row>
    <row r="108" spans="1:4" x14ac:dyDescent="0.25">
      <c r="A108" t="s">
        <v>1448</v>
      </c>
      <c r="B108" t="s">
        <v>819</v>
      </c>
      <c r="C108" s="69">
        <v>43831</v>
      </c>
      <c r="D108" s="28">
        <v>150</v>
      </c>
    </row>
    <row r="109" spans="1:4" x14ac:dyDescent="0.25">
      <c r="A109" t="s">
        <v>357</v>
      </c>
      <c r="B109" t="s">
        <v>358</v>
      </c>
      <c r="C109" s="69">
        <v>43831</v>
      </c>
      <c r="D109" s="28">
        <v>2310.0149999999999</v>
      </c>
    </row>
    <row r="110" spans="1:4" x14ac:dyDescent="0.25">
      <c r="A110" t="s">
        <v>763</v>
      </c>
      <c r="B110" t="s">
        <v>762</v>
      </c>
      <c r="C110" s="69">
        <v>43831</v>
      </c>
      <c r="D110" s="28">
        <v>3000</v>
      </c>
    </row>
    <row r="111" spans="1:4" x14ac:dyDescent="0.25">
      <c r="A111" t="s">
        <v>274</v>
      </c>
      <c r="B111" t="s">
        <v>665</v>
      </c>
      <c r="C111" s="69">
        <v>43832</v>
      </c>
      <c r="D111" s="28">
        <v>2500</v>
      </c>
    </row>
    <row r="112" spans="1:4" x14ac:dyDescent="0.25">
      <c r="A112" t="s">
        <v>282</v>
      </c>
      <c r="B112" t="s">
        <v>283</v>
      </c>
      <c r="C112" s="69">
        <v>43832</v>
      </c>
      <c r="D112" s="28">
        <v>1500</v>
      </c>
    </row>
    <row r="113" spans="1:4" x14ac:dyDescent="0.25">
      <c r="A113" t="s">
        <v>271</v>
      </c>
      <c r="B113" t="s">
        <v>272</v>
      </c>
      <c r="C113" s="69">
        <v>43832</v>
      </c>
      <c r="D113" s="28">
        <v>2241.8609999999999</v>
      </c>
    </row>
    <row r="114" spans="1:4" x14ac:dyDescent="0.25">
      <c r="A114" t="s">
        <v>848</v>
      </c>
      <c r="B114" t="s">
        <v>847</v>
      </c>
      <c r="C114" s="69">
        <v>43832</v>
      </c>
      <c r="D114" s="28">
        <v>3400.857</v>
      </c>
    </row>
    <row r="115" spans="1:4" x14ac:dyDescent="0.25">
      <c r="A115" t="s">
        <v>825</v>
      </c>
      <c r="B115" t="s">
        <v>430</v>
      </c>
      <c r="C115" s="69">
        <v>43832</v>
      </c>
      <c r="D115" s="28">
        <v>1755.25</v>
      </c>
    </row>
    <row r="116" spans="1:4" x14ac:dyDescent="0.25">
      <c r="A116" t="s">
        <v>428</v>
      </c>
      <c r="B116" t="s">
        <v>429</v>
      </c>
      <c r="C116" s="69">
        <v>43832</v>
      </c>
      <c r="D116" s="28">
        <v>1500</v>
      </c>
    </row>
    <row r="117" spans="1:4" x14ac:dyDescent="0.25">
      <c r="A117" t="s">
        <v>545</v>
      </c>
      <c r="B117" t="s">
        <v>554</v>
      </c>
      <c r="C117" s="69">
        <v>43832</v>
      </c>
      <c r="D117" s="28">
        <v>800</v>
      </c>
    </row>
    <row r="118" spans="1:4" x14ac:dyDescent="0.25">
      <c r="A118" t="s">
        <v>460</v>
      </c>
      <c r="B118" t="s">
        <v>461</v>
      </c>
      <c r="C118" s="69">
        <v>43833</v>
      </c>
      <c r="D118" s="28">
        <v>6580.4470000000001</v>
      </c>
    </row>
    <row r="119" spans="1:4" x14ac:dyDescent="0.25">
      <c r="A119" t="s">
        <v>282</v>
      </c>
      <c r="B119" t="s">
        <v>283</v>
      </c>
      <c r="C119" s="69">
        <v>43833</v>
      </c>
      <c r="D119" s="28">
        <v>1500</v>
      </c>
    </row>
    <row r="120" spans="1:4" x14ac:dyDescent="0.25">
      <c r="A120" t="s">
        <v>304</v>
      </c>
      <c r="B120" t="s">
        <v>305</v>
      </c>
      <c r="C120" s="69">
        <v>43833</v>
      </c>
      <c r="D120" s="28">
        <v>974.702</v>
      </c>
    </row>
    <row r="121" spans="1:4" x14ac:dyDescent="0.25">
      <c r="A121" t="s">
        <v>504</v>
      </c>
      <c r="B121" t="s">
        <v>508</v>
      </c>
      <c r="C121" s="69">
        <v>43833</v>
      </c>
      <c r="D121" s="28">
        <v>995.58900000000006</v>
      </c>
    </row>
    <row r="122" spans="1:4" x14ac:dyDescent="0.25">
      <c r="A122" t="s">
        <v>725</v>
      </c>
      <c r="B122" t="s">
        <v>427</v>
      </c>
      <c r="C122" s="69">
        <v>43833</v>
      </c>
      <c r="D122" s="28">
        <v>1500</v>
      </c>
    </row>
    <row r="123" spans="1:4" x14ac:dyDescent="0.25">
      <c r="A123" t="s">
        <v>858</v>
      </c>
      <c r="B123" t="s">
        <v>857</v>
      </c>
      <c r="C123" s="69">
        <v>43833</v>
      </c>
      <c r="D123" s="28">
        <v>270</v>
      </c>
    </row>
    <row r="124" spans="1:4" x14ac:dyDescent="0.25">
      <c r="A124" t="s">
        <v>932</v>
      </c>
      <c r="B124" t="s">
        <v>472</v>
      </c>
      <c r="C124" s="69">
        <v>43834</v>
      </c>
      <c r="D124" s="28">
        <v>2593.299</v>
      </c>
    </row>
    <row r="125" spans="1:4" x14ac:dyDescent="0.25">
      <c r="A125" t="s">
        <v>758</v>
      </c>
      <c r="B125" t="s">
        <v>757</v>
      </c>
      <c r="C125" s="69">
        <v>43834</v>
      </c>
      <c r="D125" s="28">
        <v>811.255</v>
      </c>
    </row>
    <row r="126" spans="1:4" x14ac:dyDescent="0.25">
      <c r="A126" t="s">
        <v>443</v>
      </c>
      <c r="B126" t="s">
        <v>676</v>
      </c>
      <c r="C126" s="69">
        <v>43835</v>
      </c>
      <c r="D126" s="28">
        <v>2588.7939999999999</v>
      </c>
    </row>
    <row r="127" spans="1:4" x14ac:dyDescent="0.25">
      <c r="A127" t="s">
        <v>796</v>
      </c>
      <c r="B127" t="s">
        <v>806</v>
      </c>
      <c r="C127" s="69">
        <v>43835</v>
      </c>
      <c r="D127" s="28">
        <v>3500</v>
      </c>
    </row>
    <row r="128" spans="1:4" x14ac:dyDescent="0.25">
      <c r="A128" t="s">
        <v>502</v>
      </c>
      <c r="B128" t="s">
        <v>507</v>
      </c>
      <c r="C128" s="69">
        <v>43835</v>
      </c>
      <c r="D128" s="28">
        <v>3274.8029999999999</v>
      </c>
    </row>
    <row r="129" spans="1:4" x14ac:dyDescent="0.25">
      <c r="A129" t="s">
        <v>791</v>
      </c>
      <c r="B129" t="s">
        <v>803</v>
      </c>
      <c r="C129" s="69">
        <v>43835</v>
      </c>
      <c r="D129" s="28">
        <v>1500</v>
      </c>
    </row>
    <row r="130" spans="1:4" x14ac:dyDescent="0.25">
      <c r="A130" t="s">
        <v>312</v>
      </c>
      <c r="B130" t="s">
        <v>313</v>
      </c>
      <c r="C130" s="69">
        <v>43835</v>
      </c>
      <c r="D130" s="28">
        <v>820</v>
      </c>
    </row>
    <row r="131" spans="1:4" x14ac:dyDescent="0.25">
      <c r="A131" t="s">
        <v>1064</v>
      </c>
      <c r="B131" t="s">
        <v>1063</v>
      </c>
      <c r="C131" s="69">
        <v>43835</v>
      </c>
      <c r="D131" s="28">
        <v>820.96699999999998</v>
      </c>
    </row>
    <row r="132" spans="1:4" x14ac:dyDescent="0.25">
      <c r="A132" t="s">
        <v>986</v>
      </c>
      <c r="B132" t="s">
        <v>730</v>
      </c>
      <c r="C132" s="69">
        <v>43835</v>
      </c>
      <c r="D132" s="28">
        <v>213.13399999999999</v>
      </c>
    </row>
    <row r="133" spans="1:4" x14ac:dyDescent="0.25">
      <c r="A133" t="s">
        <v>500</v>
      </c>
      <c r="B133" t="s">
        <v>501</v>
      </c>
      <c r="C133" s="69">
        <v>43835</v>
      </c>
      <c r="D133" s="28">
        <v>1504.135</v>
      </c>
    </row>
    <row r="134" spans="1:4" x14ac:dyDescent="0.25">
      <c r="A134" t="s">
        <v>315</v>
      </c>
      <c r="B134" t="s">
        <v>316</v>
      </c>
      <c r="C134" s="69">
        <v>43835</v>
      </c>
      <c r="D134" s="28">
        <v>1353.2260000000001</v>
      </c>
    </row>
    <row r="135" spans="1:4" x14ac:dyDescent="0.25">
      <c r="A135" t="s">
        <v>830</v>
      </c>
      <c r="B135" t="s">
        <v>668</v>
      </c>
      <c r="C135" s="69">
        <v>43835</v>
      </c>
      <c r="D135" s="28">
        <v>953.79399999999998</v>
      </c>
    </row>
    <row r="136" spans="1:4" x14ac:dyDescent="0.25">
      <c r="A136" t="s">
        <v>926</v>
      </c>
      <c r="B136" t="s">
        <v>619</v>
      </c>
      <c r="C136" s="69">
        <v>43835</v>
      </c>
      <c r="D136" s="28">
        <v>5000</v>
      </c>
    </row>
    <row r="137" spans="1:4" x14ac:dyDescent="0.25">
      <c r="A137" t="s">
        <v>770</v>
      </c>
      <c r="B137" t="s">
        <v>433</v>
      </c>
      <c r="C137" s="69">
        <v>43835</v>
      </c>
      <c r="D137" s="28">
        <v>5945.7910000000002</v>
      </c>
    </row>
    <row r="138" spans="1:4" x14ac:dyDescent="0.25">
      <c r="A138" t="s">
        <v>932</v>
      </c>
      <c r="B138" t="s">
        <v>472</v>
      </c>
      <c r="C138" s="69">
        <v>43835</v>
      </c>
      <c r="D138" s="28">
        <v>2011</v>
      </c>
    </row>
    <row r="139" spans="1:4" x14ac:dyDescent="0.25">
      <c r="A139" t="s">
        <v>842</v>
      </c>
      <c r="B139" t="s">
        <v>755</v>
      </c>
      <c r="C139" s="69">
        <v>43835</v>
      </c>
      <c r="D139" s="28">
        <v>883.00900000000001</v>
      </c>
    </row>
    <row r="140" spans="1:4" x14ac:dyDescent="0.25">
      <c r="A140" t="s">
        <v>833</v>
      </c>
      <c r="B140" t="s">
        <v>662</v>
      </c>
      <c r="C140" s="69">
        <v>43835</v>
      </c>
      <c r="D140" s="28">
        <v>10000</v>
      </c>
    </row>
    <row r="141" spans="1:4" x14ac:dyDescent="0.25">
      <c r="A141" t="s">
        <v>964</v>
      </c>
      <c r="B141" t="s">
        <v>432</v>
      </c>
      <c r="C141" s="69">
        <v>43835</v>
      </c>
      <c r="D141" s="28">
        <v>2618.7449999999999</v>
      </c>
    </row>
    <row r="142" spans="1:4" x14ac:dyDescent="0.25">
      <c r="A142" t="s">
        <v>794</v>
      </c>
      <c r="B142" t="s">
        <v>480</v>
      </c>
      <c r="C142" s="69">
        <v>43835</v>
      </c>
      <c r="D142" s="28">
        <v>4000</v>
      </c>
    </row>
    <row r="143" spans="1:4" x14ac:dyDescent="0.25">
      <c r="A143" t="s">
        <v>845</v>
      </c>
      <c r="B143" t="s">
        <v>760</v>
      </c>
      <c r="C143" s="69">
        <v>43835</v>
      </c>
      <c r="D143" s="28">
        <v>1568.039</v>
      </c>
    </row>
    <row r="144" spans="1:4" x14ac:dyDescent="0.25">
      <c r="A144" t="s">
        <v>1039</v>
      </c>
      <c r="B144" t="s">
        <v>563</v>
      </c>
      <c r="C144" s="69">
        <v>43835</v>
      </c>
      <c r="D144" s="28">
        <v>16931.502</v>
      </c>
    </row>
    <row r="145" spans="1:4" x14ac:dyDescent="0.25">
      <c r="A145" t="s">
        <v>294</v>
      </c>
      <c r="B145" t="s">
        <v>295</v>
      </c>
      <c r="C145" s="69">
        <v>43835</v>
      </c>
      <c r="D145" s="28">
        <v>800</v>
      </c>
    </row>
    <row r="146" spans="1:4" x14ac:dyDescent="0.25">
      <c r="A146" t="s">
        <v>893</v>
      </c>
      <c r="B146" t="s">
        <v>353</v>
      </c>
      <c r="C146" s="69">
        <v>43835</v>
      </c>
      <c r="D146" s="28">
        <v>1132.9000000000001</v>
      </c>
    </row>
    <row r="147" spans="1:4" x14ac:dyDescent="0.25">
      <c r="A147" t="s">
        <v>1043</v>
      </c>
      <c r="B147" t="s">
        <v>1042</v>
      </c>
      <c r="C147" s="69">
        <v>43835</v>
      </c>
      <c r="D147" s="28">
        <v>1209.67</v>
      </c>
    </row>
    <row r="148" spans="1:4" x14ac:dyDescent="0.25">
      <c r="A148" t="s">
        <v>834</v>
      </c>
      <c r="B148" t="s">
        <v>314</v>
      </c>
      <c r="C148" s="69">
        <v>43835</v>
      </c>
      <c r="D148" s="28">
        <v>287.88799999999998</v>
      </c>
    </row>
    <row r="149" spans="1:4" x14ac:dyDescent="0.25">
      <c r="A149" t="s">
        <v>767</v>
      </c>
      <c r="B149" t="s">
        <v>747</v>
      </c>
      <c r="C149" s="69">
        <v>43835</v>
      </c>
      <c r="D149" s="28">
        <v>289.19900000000001</v>
      </c>
    </row>
    <row r="150" spans="1:4" x14ac:dyDescent="0.25">
      <c r="A150" t="s">
        <v>1205</v>
      </c>
      <c r="B150" t="s">
        <v>1076</v>
      </c>
      <c r="C150" s="69">
        <v>43835</v>
      </c>
      <c r="D150" s="28">
        <v>1381.7470000000001</v>
      </c>
    </row>
    <row r="151" spans="1:4" x14ac:dyDescent="0.25">
      <c r="A151" t="s">
        <v>1163</v>
      </c>
      <c r="B151" t="s">
        <v>1162</v>
      </c>
      <c r="C151" s="69">
        <v>43835</v>
      </c>
      <c r="D151" s="28">
        <v>2374.2820000000002</v>
      </c>
    </row>
    <row r="152" spans="1:4" x14ac:dyDescent="0.25">
      <c r="A152" t="s">
        <v>880</v>
      </c>
      <c r="B152" t="s">
        <v>645</v>
      </c>
      <c r="C152" s="69">
        <v>43835</v>
      </c>
      <c r="D152" s="28">
        <v>838.53700000000003</v>
      </c>
    </row>
    <row r="153" spans="1:4" x14ac:dyDescent="0.25">
      <c r="A153" t="s">
        <v>330</v>
      </c>
      <c r="B153" t="s">
        <v>331</v>
      </c>
      <c r="C153" s="69">
        <v>43835</v>
      </c>
      <c r="D153" s="28">
        <v>2000</v>
      </c>
    </row>
    <row r="154" spans="1:4" x14ac:dyDescent="0.25">
      <c r="A154" t="s">
        <v>423</v>
      </c>
      <c r="B154" t="s">
        <v>424</v>
      </c>
      <c r="C154" s="69">
        <v>43835</v>
      </c>
      <c r="D154" s="28">
        <v>5000</v>
      </c>
    </row>
    <row r="155" spans="1:4" x14ac:dyDescent="0.25">
      <c r="A155" t="s">
        <v>647</v>
      </c>
      <c r="B155" t="s">
        <v>646</v>
      </c>
      <c r="C155" s="69">
        <v>43835</v>
      </c>
      <c r="D155" s="28">
        <v>2000</v>
      </c>
    </row>
    <row r="156" spans="1:4" x14ac:dyDescent="0.25">
      <c r="A156" t="s">
        <v>1368</v>
      </c>
      <c r="B156" t="s">
        <v>1367</v>
      </c>
      <c r="C156" s="69">
        <v>43835</v>
      </c>
      <c r="D156" s="28">
        <v>1000</v>
      </c>
    </row>
    <row r="157" spans="1:4" x14ac:dyDescent="0.25">
      <c r="A157" t="s">
        <v>967</v>
      </c>
      <c r="B157" t="s">
        <v>966</v>
      </c>
      <c r="C157" s="69">
        <v>43835</v>
      </c>
      <c r="D157" s="28">
        <v>2611.0039999999999</v>
      </c>
    </row>
    <row r="158" spans="1:4" x14ac:dyDescent="0.25">
      <c r="A158" t="s">
        <v>301</v>
      </c>
      <c r="B158" t="s">
        <v>302</v>
      </c>
      <c r="C158" s="69">
        <v>43835</v>
      </c>
      <c r="D158" s="28">
        <v>2400</v>
      </c>
    </row>
    <row r="159" spans="1:4" x14ac:dyDescent="0.25">
      <c r="A159" t="s">
        <v>545</v>
      </c>
      <c r="B159" t="s">
        <v>554</v>
      </c>
      <c r="C159" s="69">
        <v>43835</v>
      </c>
      <c r="D159" s="28">
        <v>350</v>
      </c>
    </row>
    <row r="160" spans="1:4" x14ac:dyDescent="0.25">
      <c r="A160" t="s">
        <v>435</v>
      </c>
      <c r="B160" t="s">
        <v>436</v>
      </c>
      <c r="C160" s="69">
        <v>43835</v>
      </c>
      <c r="D160" s="28">
        <v>6597.6279999999997</v>
      </c>
    </row>
    <row r="161" spans="1:4" x14ac:dyDescent="0.25">
      <c r="A161" t="s">
        <v>1212</v>
      </c>
      <c r="B161" t="s">
        <v>1211</v>
      </c>
      <c r="C161" s="69">
        <v>43835</v>
      </c>
      <c r="D161" s="28">
        <v>7185.6710000000003</v>
      </c>
    </row>
    <row r="162" spans="1:4" x14ac:dyDescent="0.25">
      <c r="A162" t="s">
        <v>274</v>
      </c>
      <c r="B162" t="s">
        <v>665</v>
      </c>
      <c r="C162" s="69">
        <v>43836</v>
      </c>
      <c r="D162" s="28">
        <v>2500</v>
      </c>
    </row>
    <row r="163" spans="1:4" x14ac:dyDescent="0.25">
      <c r="A163" t="s">
        <v>715</v>
      </c>
      <c r="B163" t="s">
        <v>714</v>
      </c>
      <c r="C163" s="69">
        <v>43836</v>
      </c>
      <c r="D163" s="28">
        <v>1788.7059999999999</v>
      </c>
    </row>
    <row r="164" spans="1:4" x14ac:dyDescent="0.25">
      <c r="A164" t="s">
        <v>903</v>
      </c>
      <c r="B164" t="s">
        <v>948</v>
      </c>
      <c r="C164" s="69">
        <v>43836</v>
      </c>
      <c r="D164" s="28">
        <v>2370.8649999999998</v>
      </c>
    </row>
    <row r="165" spans="1:4" x14ac:dyDescent="0.25">
      <c r="A165" t="s">
        <v>719</v>
      </c>
      <c r="B165" t="s">
        <v>664</v>
      </c>
      <c r="C165" s="69">
        <v>43836</v>
      </c>
      <c r="D165" s="28">
        <v>6305.2830000000004</v>
      </c>
    </row>
    <row r="166" spans="1:4" x14ac:dyDescent="0.25">
      <c r="A166" t="s">
        <v>1041</v>
      </c>
      <c r="B166" t="s">
        <v>1040</v>
      </c>
      <c r="C166" s="69">
        <v>43836</v>
      </c>
      <c r="D166" s="28">
        <v>2328.261</v>
      </c>
    </row>
    <row r="167" spans="1:4" x14ac:dyDescent="0.25">
      <c r="A167" t="s">
        <v>900</v>
      </c>
      <c r="B167" t="s">
        <v>952</v>
      </c>
      <c r="C167" s="69">
        <v>43836</v>
      </c>
      <c r="D167" s="28">
        <v>847.91</v>
      </c>
    </row>
    <row r="168" spans="1:4" x14ac:dyDescent="0.25">
      <c r="A168" t="s">
        <v>758</v>
      </c>
      <c r="B168" t="s">
        <v>757</v>
      </c>
      <c r="C168" s="69">
        <v>43836</v>
      </c>
      <c r="D168" s="28">
        <v>625</v>
      </c>
    </row>
    <row r="169" spans="1:4" x14ac:dyDescent="0.25">
      <c r="A169" t="s">
        <v>282</v>
      </c>
      <c r="B169" t="s">
        <v>283</v>
      </c>
      <c r="C169" s="69">
        <v>43837</v>
      </c>
      <c r="D169" s="28">
        <v>1500</v>
      </c>
    </row>
    <row r="170" spans="1:4" x14ac:dyDescent="0.25">
      <c r="A170" t="s">
        <v>304</v>
      </c>
      <c r="B170" t="s">
        <v>305</v>
      </c>
      <c r="C170" s="69">
        <v>43837</v>
      </c>
      <c r="D170" s="28">
        <v>974.702</v>
      </c>
    </row>
    <row r="171" spans="1:4" x14ac:dyDescent="0.25">
      <c r="A171" t="s">
        <v>905</v>
      </c>
      <c r="B171" t="s">
        <v>938</v>
      </c>
      <c r="C171" s="69">
        <v>43837</v>
      </c>
      <c r="D171" s="28">
        <v>2000</v>
      </c>
    </row>
    <row r="172" spans="1:4" x14ac:dyDescent="0.25">
      <c r="A172" t="s">
        <v>744</v>
      </c>
      <c r="B172" t="s">
        <v>743</v>
      </c>
      <c r="C172" s="69">
        <v>43837</v>
      </c>
      <c r="D172" s="28">
        <v>250</v>
      </c>
    </row>
    <row r="173" spans="1:4" x14ac:dyDescent="0.25">
      <c r="A173" t="s">
        <v>905</v>
      </c>
      <c r="B173" t="s">
        <v>938</v>
      </c>
      <c r="C173" s="69">
        <v>43837</v>
      </c>
      <c r="D173" s="28">
        <v>1392.2429999999999</v>
      </c>
    </row>
    <row r="174" spans="1:4" x14ac:dyDescent="0.25">
      <c r="A174" t="s">
        <v>905</v>
      </c>
      <c r="B174" t="s">
        <v>938</v>
      </c>
      <c r="C174" s="69">
        <v>43837</v>
      </c>
      <c r="D174" s="28">
        <v>1000</v>
      </c>
    </row>
    <row r="175" spans="1:4" x14ac:dyDescent="0.25">
      <c r="A175" t="s">
        <v>339</v>
      </c>
      <c r="B175" t="s">
        <v>340</v>
      </c>
      <c r="C175" s="69">
        <v>43837</v>
      </c>
      <c r="D175" s="28">
        <v>887.25</v>
      </c>
    </row>
    <row r="176" spans="1:4" x14ac:dyDescent="0.25">
      <c r="A176" t="s">
        <v>902</v>
      </c>
      <c r="B176" t="s">
        <v>479</v>
      </c>
      <c r="C176" s="69">
        <v>43837</v>
      </c>
      <c r="D176" s="28">
        <v>1000</v>
      </c>
    </row>
    <row r="177" spans="1:4" x14ac:dyDescent="0.25">
      <c r="A177" t="s">
        <v>734</v>
      </c>
      <c r="B177" t="s">
        <v>401</v>
      </c>
      <c r="C177" s="69">
        <v>43837</v>
      </c>
      <c r="D177" s="28">
        <v>1158.0809999999999</v>
      </c>
    </row>
    <row r="178" spans="1:4" x14ac:dyDescent="0.25">
      <c r="A178" t="s">
        <v>725</v>
      </c>
      <c r="B178" t="s">
        <v>427</v>
      </c>
      <c r="C178" s="69">
        <v>43837</v>
      </c>
      <c r="D178" s="28">
        <v>500</v>
      </c>
    </row>
    <row r="179" spans="1:4" x14ac:dyDescent="0.25">
      <c r="A179" t="s">
        <v>425</v>
      </c>
      <c r="B179" t="s">
        <v>426</v>
      </c>
      <c r="C179" s="69">
        <v>43837</v>
      </c>
      <c r="D179" s="28">
        <v>3500</v>
      </c>
    </row>
    <row r="180" spans="1:4" x14ac:dyDescent="0.25">
      <c r="A180" t="s">
        <v>375</v>
      </c>
      <c r="B180" t="s">
        <v>376</v>
      </c>
      <c r="C180" s="69">
        <v>43837</v>
      </c>
      <c r="D180" s="28">
        <v>1275.3019999999999</v>
      </c>
    </row>
    <row r="181" spans="1:4" x14ac:dyDescent="0.25">
      <c r="A181" t="s">
        <v>330</v>
      </c>
      <c r="B181" t="s">
        <v>331</v>
      </c>
      <c r="C181" s="69">
        <v>43837</v>
      </c>
      <c r="D181" s="28">
        <v>1615.2280000000001</v>
      </c>
    </row>
    <row r="182" spans="1:4" x14ac:dyDescent="0.25">
      <c r="A182" t="s">
        <v>428</v>
      </c>
      <c r="B182" t="s">
        <v>429</v>
      </c>
      <c r="C182" s="69">
        <v>43837</v>
      </c>
      <c r="D182" s="28">
        <v>561.9</v>
      </c>
    </row>
    <row r="183" spans="1:4" x14ac:dyDescent="0.25">
      <c r="A183" t="s">
        <v>303</v>
      </c>
      <c r="B183" t="s">
        <v>670</v>
      </c>
      <c r="C183" s="69">
        <v>43837</v>
      </c>
      <c r="D183" s="28">
        <v>1650</v>
      </c>
    </row>
    <row r="184" spans="1:4" x14ac:dyDescent="0.25">
      <c r="A184" t="s">
        <v>282</v>
      </c>
      <c r="B184" t="s">
        <v>283</v>
      </c>
      <c r="C184" s="69">
        <v>43838</v>
      </c>
      <c r="D184" s="28">
        <v>1500</v>
      </c>
    </row>
    <row r="185" spans="1:4" x14ac:dyDescent="0.25">
      <c r="A185" t="s">
        <v>830</v>
      </c>
      <c r="B185" t="s">
        <v>668</v>
      </c>
      <c r="C185" s="69">
        <v>43838</v>
      </c>
      <c r="D185" s="28">
        <v>954.89400000000001</v>
      </c>
    </row>
    <row r="186" spans="1:4" x14ac:dyDescent="0.25">
      <c r="A186" t="s">
        <v>274</v>
      </c>
      <c r="B186" t="s">
        <v>665</v>
      </c>
      <c r="C186" s="69">
        <v>43839</v>
      </c>
      <c r="D186" s="28">
        <v>2000</v>
      </c>
    </row>
    <row r="187" spans="1:4" x14ac:dyDescent="0.25">
      <c r="A187" t="s">
        <v>282</v>
      </c>
      <c r="B187" t="s">
        <v>283</v>
      </c>
      <c r="C187" s="69">
        <v>43839</v>
      </c>
      <c r="D187" s="28">
        <v>1500</v>
      </c>
    </row>
    <row r="188" spans="1:4" x14ac:dyDescent="0.25">
      <c r="A188" t="s">
        <v>282</v>
      </c>
      <c r="B188" t="s">
        <v>283</v>
      </c>
      <c r="C188" s="69">
        <v>43839</v>
      </c>
      <c r="D188" s="28">
        <v>280.738</v>
      </c>
    </row>
    <row r="189" spans="1:4" x14ac:dyDescent="0.25">
      <c r="A189" t="s">
        <v>511</v>
      </c>
      <c r="B189" t="s">
        <v>512</v>
      </c>
      <c r="C189" s="69">
        <v>43839</v>
      </c>
      <c r="D189" s="28">
        <v>1500</v>
      </c>
    </row>
    <row r="190" spans="1:4" x14ac:dyDescent="0.25">
      <c r="A190" t="s">
        <v>339</v>
      </c>
      <c r="B190" t="s">
        <v>340</v>
      </c>
      <c r="C190" s="69">
        <v>43839</v>
      </c>
      <c r="D190" s="28">
        <v>888.25</v>
      </c>
    </row>
    <row r="191" spans="1:4" x14ac:dyDescent="0.25">
      <c r="A191" t="s">
        <v>357</v>
      </c>
      <c r="B191" t="s">
        <v>358</v>
      </c>
      <c r="C191" s="69">
        <v>43839</v>
      </c>
      <c r="D191" s="28">
        <v>2440</v>
      </c>
    </row>
    <row r="192" spans="1:4" x14ac:dyDescent="0.25">
      <c r="A192" t="s">
        <v>334</v>
      </c>
      <c r="B192" t="s">
        <v>335</v>
      </c>
      <c r="C192" s="69">
        <v>43839</v>
      </c>
      <c r="D192" s="28">
        <v>3100</v>
      </c>
    </row>
    <row r="193" spans="1:4" x14ac:dyDescent="0.25">
      <c r="A193" t="s">
        <v>441</v>
      </c>
      <c r="B193" t="s">
        <v>442</v>
      </c>
      <c r="C193" s="69">
        <v>43840</v>
      </c>
      <c r="D193" s="28">
        <v>5124.8019999999997</v>
      </c>
    </row>
    <row r="194" spans="1:4" x14ac:dyDescent="0.25">
      <c r="A194" t="s">
        <v>765</v>
      </c>
      <c r="B194" t="s">
        <v>764</v>
      </c>
      <c r="C194" s="69">
        <v>43840</v>
      </c>
      <c r="D194" s="28">
        <v>1534.3610000000001</v>
      </c>
    </row>
    <row r="195" spans="1:4" x14ac:dyDescent="0.25">
      <c r="A195" t="s">
        <v>710</v>
      </c>
      <c r="B195" t="s">
        <v>709</v>
      </c>
      <c r="C195" s="69">
        <v>43840</v>
      </c>
      <c r="D195" s="28">
        <v>2683.623</v>
      </c>
    </row>
    <row r="196" spans="1:4" x14ac:dyDescent="0.25">
      <c r="A196" t="s">
        <v>484</v>
      </c>
      <c r="B196" t="s">
        <v>439</v>
      </c>
      <c r="C196" s="69">
        <v>43840</v>
      </c>
      <c r="D196" s="28">
        <v>1246.8810000000001</v>
      </c>
    </row>
    <row r="197" spans="1:4" x14ac:dyDescent="0.25">
      <c r="A197" t="s">
        <v>282</v>
      </c>
      <c r="B197" t="s">
        <v>283</v>
      </c>
      <c r="C197" s="69">
        <v>43840</v>
      </c>
      <c r="D197" s="28">
        <v>1500</v>
      </c>
    </row>
    <row r="198" spans="1:4" x14ac:dyDescent="0.25">
      <c r="A198" t="s">
        <v>1038</v>
      </c>
      <c r="B198" t="s">
        <v>481</v>
      </c>
      <c r="C198" s="69">
        <v>43840</v>
      </c>
      <c r="D198" s="28">
        <v>3681.7829999999999</v>
      </c>
    </row>
    <row r="199" spans="1:4" x14ac:dyDescent="0.25">
      <c r="A199" t="s">
        <v>332</v>
      </c>
      <c r="B199" t="s">
        <v>333</v>
      </c>
      <c r="C199" s="69">
        <v>43840</v>
      </c>
      <c r="D199" s="28">
        <v>550</v>
      </c>
    </row>
    <row r="200" spans="1:4" x14ac:dyDescent="0.25">
      <c r="A200" t="s">
        <v>791</v>
      </c>
      <c r="B200" t="s">
        <v>803</v>
      </c>
      <c r="C200" s="69">
        <v>43840</v>
      </c>
      <c r="D200" s="28">
        <v>3000</v>
      </c>
    </row>
    <row r="201" spans="1:4" x14ac:dyDescent="0.25">
      <c r="A201" t="s">
        <v>312</v>
      </c>
      <c r="B201" t="s">
        <v>313</v>
      </c>
      <c r="C201" s="69">
        <v>43840</v>
      </c>
      <c r="D201" s="28">
        <v>810</v>
      </c>
    </row>
    <row r="202" spans="1:4" x14ac:dyDescent="0.25">
      <c r="A202" t="s">
        <v>1366</v>
      </c>
      <c r="B202" t="s">
        <v>1365</v>
      </c>
      <c r="C202" s="69">
        <v>43840</v>
      </c>
      <c r="D202" s="28">
        <v>4038.27</v>
      </c>
    </row>
    <row r="203" spans="1:4" x14ac:dyDescent="0.25">
      <c r="A203" t="s">
        <v>315</v>
      </c>
      <c r="B203" t="s">
        <v>316</v>
      </c>
      <c r="C203" s="69">
        <v>43840</v>
      </c>
      <c r="D203" s="28">
        <v>1353.2260000000001</v>
      </c>
    </row>
    <row r="204" spans="1:4" x14ac:dyDescent="0.25">
      <c r="A204" t="s">
        <v>270</v>
      </c>
      <c r="B204" t="s">
        <v>666</v>
      </c>
      <c r="C204" s="69">
        <v>43840</v>
      </c>
      <c r="D204" s="28">
        <v>1865.242</v>
      </c>
    </row>
    <row r="205" spans="1:4" x14ac:dyDescent="0.25">
      <c r="A205" t="s">
        <v>830</v>
      </c>
      <c r="B205" t="s">
        <v>668</v>
      </c>
      <c r="C205" s="69">
        <v>43840</v>
      </c>
      <c r="D205" s="28">
        <v>952.69600000000003</v>
      </c>
    </row>
    <row r="206" spans="1:4" x14ac:dyDescent="0.25">
      <c r="A206" t="s">
        <v>926</v>
      </c>
      <c r="B206" t="s">
        <v>619</v>
      </c>
      <c r="C206" s="69">
        <v>43840</v>
      </c>
      <c r="D206" s="28">
        <v>2323.0169999999998</v>
      </c>
    </row>
    <row r="207" spans="1:4" x14ac:dyDescent="0.25">
      <c r="A207" t="s">
        <v>825</v>
      </c>
      <c r="B207" t="s">
        <v>430</v>
      </c>
      <c r="C207" s="69">
        <v>43840</v>
      </c>
      <c r="D207" s="28">
        <v>1755.2550000000001</v>
      </c>
    </row>
    <row r="208" spans="1:4" x14ac:dyDescent="0.25">
      <c r="A208" t="s">
        <v>931</v>
      </c>
      <c r="B208" t="s">
        <v>365</v>
      </c>
      <c r="C208" s="69">
        <v>43840</v>
      </c>
      <c r="D208" s="28">
        <v>8134.482</v>
      </c>
    </row>
    <row r="209" spans="1:4" x14ac:dyDescent="0.25">
      <c r="A209" t="s">
        <v>930</v>
      </c>
      <c r="B209" t="s">
        <v>708</v>
      </c>
      <c r="C209" s="69">
        <v>43840</v>
      </c>
      <c r="D209" s="28">
        <v>4904.1440000000002</v>
      </c>
    </row>
    <row r="210" spans="1:4" x14ac:dyDescent="0.25">
      <c r="A210" t="s">
        <v>882</v>
      </c>
      <c r="B210" t="s">
        <v>672</v>
      </c>
      <c r="C210" s="69">
        <v>43840</v>
      </c>
      <c r="D210" s="28">
        <v>2310.9029999999998</v>
      </c>
    </row>
    <row r="211" spans="1:4" x14ac:dyDescent="0.25">
      <c r="A211" t="s">
        <v>354</v>
      </c>
      <c r="B211" t="s">
        <v>355</v>
      </c>
      <c r="C211" s="69">
        <v>43840</v>
      </c>
      <c r="D211" s="28">
        <v>1912.875</v>
      </c>
    </row>
    <row r="212" spans="1:4" x14ac:dyDescent="0.25">
      <c r="A212" t="s">
        <v>695</v>
      </c>
      <c r="B212" t="s">
        <v>359</v>
      </c>
      <c r="C212" s="69">
        <v>43840</v>
      </c>
      <c r="D212" s="28">
        <v>1130.3440000000001</v>
      </c>
    </row>
    <row r="213" spans="1:4" x14ac:dyDescent="0.25">
      <c r="A213" t="s">
        <v>965</v>
      </c>
      <c r="B213" t="s">
        <v>368</v>
      </c>
      <c r="C213" s="69">
        <v>43840</v>
      </c>
      <c r="D213" s="28">
        <v>5733.2479999999996</v>
      </c>
    </row>
    <row r="214" spans="1:4" x14ac:dyDescent="0.25">
      <c r="A214" t="s">
        <v>794</v>
      </c>
      <c r="B214" t="s">
        <v>480</v>
      </c>
      <c r="C214" s="69">
        <v>43840</v>
      </c>
      <c r="D214" s="28">
        <v>4000</v>
      </c>
    </row>
    <row r="215" spans="1:4" x14ac:dyDescent="0.25">
      <c r="A215" t="s">
        <v>890</v>
      </c>
      <c r="B215" t="s">
        <v>324</v>
      </c>
      <c r="C215" s="69">
        <v>43840</v>
      </c>
      <c r="D215" s="28">
        <v>1824.894</v>
      </c>
    </row>
    <row r="216" spans="1:4" x14ac:dyDescent="0.25">
      <c r="A216" t="s">
        <v>294</v>
      </c>
      <c r="B216" t="s">
        <v>295</v>
      </c>
      <c r="C216" s="69">
        <v>43840</v>
      </c>
      <c r="D216" s="28">
        <v>600</v>
      </c>
    </row>
    <row r="217" spans="1:4" x14ac:dyDescent="0.25">
      <c r="A217" t="s">
        <v>893</v>
      </c>
      <c r="B217" t="s">
        <v>353</v>
      </c>
      <c r="C217" s="69">
        <v>43840</v>
      </c>
      <c r="D217" s="28">
        <v>1132.069</v>
      </c>
    </row>
    <row r="218" spans="1:4" x14ac:dyDescent="0.25">
      <c r="A218" t="s">
        <v>725</v>
      </c>
      <c r="B218" t="s">
        <v>427</v>
      </c>
      <c r="C218" s="69">
        <v>43840</v>
      </c>
      <c r="D218" s="28">
        <v>1737.8</v>
      </c>
    </row>
    <row r="219" spans="1:4" x14ac:dyDescent="0.25">
      <c r="A219" t="s">
        <v>935</v>
      </c>
      <c r="B219" t="s">
        <v>777</v>
      </c>
      <c r="C219" s="69">
        <v>43840</v>
      </c>
      <c r="D219" s="28">
        <v>929.53800000000001</v>
      </c>
    </row>
    <row r="220" spans="1:4" x14ac:dyDescent="0.25">
      <c r="A220" t="s">
        <v>834</v>
      </c>
      <c r="B220" t="s">
        <v>314</v>
      </c>
      <c r="C220" s="69">
        <v>43840</v>
      </c>
      <c r="D220" s="28">
        <v>287.5</v>
      </c>
    </row>
    <row r="221" spans="1:4" x14ac:dyDescent="0.25">
      <c r="A221" t="s">
        <v>568</v>
      </c>
      <c r="B221" t="s">
        <v>555</v>
      </c>
      <c r="C221" s="69">
        <v>43840</v>
      </c>
      <c r="D221" s="28">
        <v>812.89700000000005</v>
      </c>
    </row>
    <row r="222" spans="1:4" x14ac:dyDescent="0.25">
      <c r="A222" t="s">
        <v>817</v>
      </c>
      <c r="B222" t="s">
        <v>543</v>
      </c>
      <c r="C222" s="69">
        <v>43840</v>
      </c>
      <c r="D222" s="28">
        <v>1500</v>
      </c>
    </row>
    <row r="223" spans="1:4" x14ac:dyDescent="0.25">
      <c r="A223" t="s">
        <v>883</v>
      </c>
      <c r="B223" t="s">
        <v>323</v>
      </c>
      <c r="C223" s="69">
        <v>43840</v>
      </c>
      <c r="D223" s="28">
        <v>2000</v>
      </c>
    </row>
    <row r="224" spans="1:4" x14ac:dyDescent="0.25">
      <c r="A224" t="s">
        <v>1144</v>
      </c>
      <c r="B224" t="s">
        <v>400</v>
      </c>
      <c r="C224" s="69">
        <v>43840</v>
      </c>
      <c r="D224" s="28">
        <v>1000</v>
      </c>
    </row>
    <row r="225" spans="1:4" x14ac:dyDescent="0.25">
      <c r="A225" t="s">
        <v>697</v>
      </c>
      <c r="B225" t="s">
        <v>486</v>
      </c>
      <c r="C225" s="69">
        <v>43840</v>
      </c>
      <c r="D225" s="28">
        <v>900</v>
      </c>
    </row>
    <row r="226" spans="1:4" x14ac:dyDescent="0.25">
      <c r="A226" t="s">
        <v>1203</v>
      </c>
      <c r="B226" t="s">
        <v>777</v>
      </c>
      <c r="C226" s="69">
        <v>43840</v>
      </c>
      <c r="D226" s="28">
        <v>810.75199999999995</v>
      </c>
    </row>
    <row r="227" spans="1:4" x14ac:dyDescent="0.25">
      <c r="A227" t="s">
        <v>1204</v>
      </c>
      <c r="B227" t="s">
        <v>954</v>
      </c>
      <c r="C227" s="69">
        <v>43840</v>
      </c>
      <c r="D227" s="28">
        <v>178.089</v>
      </c>
    </row>
    <row r="228" spans="1:4" x14ac:dyDescent="0.25">
      <c r="A228" t="s">
        <v>951</v>
      </c>
      <c r="B228" t="s">
        <v>459</v>
      </c>
      <c r="C228" s="69">
        <v>43840</v>
      </c>
      <c r="D228" s="28">
        <v>1718.377</v>
      </c>
    </row>
    <row r="229" spans="1:4" x14ac:dyDescent="0.25">
      <c r="A229" t="s">
        <v>1202</v>
      </c>
      <c r="B229" t="s">
        <v>1201</v>
      </c>
      <c r="C229" s="69">
        <v>43840</v>
      </c>
      <c r="D229" s="28">
        <v>668.404</v>
      </c>
    </row>
    <row r="230" spans="1:4" x14ac:dyDescent="0.25">
      <c r="A230" t="s">
        <v>1060</v>
      </c>
      <c r="B230" t="s">
        <v>1001</v>
      </c>
      <c r="C230" s="69">
        <v>43840</v>
      </c>
      <c r="D230" s="28">
        <v>130.15600000000001</v>
      </c>
    </row>
    <row r="231" spans="1:4" x14ac:dyDescent="0.25">
      <c r="A231" t="s">
        <v>587</v>
      </c>
      <c r="B231" t="s">
        <v>594</v>
      </c>
      <c r="C231" s="69">
        <v>43840</v>
      </c>
      <c r="D231" s="28">
        <v>573.798</v>
      </c>
    </row>
    <row r="232" spans="1:4" x14ac:dyDescent="0.25">
      <c r="A232" t="s">
        <v>330</v>
      </c>
      <c r="B232" t="s">
        <v>331</v>
      </c>
      <c r="C232" s="69">
        <v>43840</v>
      </c>
      <c r="D232" s="28">
        <v>1881.133</v>
      </c>
    </row>
    <row r="233" spans="1:4" x14ac:dyDescent="0.25">
      <c r="A233" t="s">
        <v>452</v>
      </c>
      <c r="B233" t="s">
        <v>453</v>
      </c>
      <c r="C233" s="69">
        <v>43840</v>
      </c>
      <c r="D233" s="28">
        <v>2427.558</v>
      </c>
    </row>
    <row r="234" spans="1:4" x14ac:dyDescent="0.25">
      <c r="A234" t="s">
        <v>434</v>
      </c>
      <c r="B234" t="s">
        <v>412</v>
      </c>
      <c r="C234" s="69">
        <v>43840</v>
      </c>
      <c r="D234" s="28">
        <v>7627.8029999999999</v>
      </c>
    </row>
    <row r="235" spans="1:4" x14ac:dyDescent="0.25">
      <c r="A235" t="s">
        <v>299</v>
      </c>
      <c r="B235" t="s">
        <v>300</v>
      </c>
      <c r="C235" s="69">
        <v>43840</v>
      </c>
      <c r="D235" s="28">
        <v>2281.4169999999999</v>
      </c>
    </row>
    <row r="236" spans="1:4" x14ac:dyDescent="0.25">
      <c r="A236" t="s">
        <v>599</v>
      </c>
      <c r="B236" t="s">
        <v>598</v>
      </c>
      <c r="C236" s="69">
        <v>43840</v>
      </c>
      <c r="D236" s="28">
        <v>3560.587</v>
      </c>
    </row>
    <row r="237" spans="1:4" x14ac:dyDescent="0.25">
      <c r="A237" t="s">
        <v>375</v>
      </c>
      <c r="B237" t="s">
        <v>376</v>
      </c>
      <c r="C237" s="69">
        <v>43840</v>
      </c>
      <c r="D237" s="28">
        <v>1275.3019999999999</v>
      </c>
    </row>
    <row r="238" spans="1:4" x14ac:dyDescent="0.25">
      <c r="A238" t="s">
        <v>336</v>
      </c>
      <c r="B238" t="s">
        <v>337</v>
      </c>
      <c r="C238" s="69">
        <v>43840</v>
      </c>
      <c r="D238" s="28">
        <v>3090</v>
      </c>
    </row>
    <row r="239" spans="1:4" x14ac:dyDescent="0.25">
      <c r="A239" t="s">
        <v>347</v>
      </c>
      <c r="B239" t="s">
        <v>348</v>
      </c>
      <c r="C239" s="69">
        <v>43840</v>
      </c>
      <c r="D239" s="28">
        <v>5000</v>
      </c>
    </row>
    <row r="240" spans="1:4" x14ac:dyDescent="0.25">
      <c r="A240" t="s">
        <v>410</v>
      </c>
      <c r="B240" t="s">
        <v>411</v>
      </c>
      <c r="C240" s="69">
        <v>43840</v>
      </c>
      <c r="D240" s="28">
        <v>1582.9179999999999</v>
      </c>
    </row>
    <row r="241" spans="1:4" x14ac:dyDescent="0.25">
      <c r="A241" t="s">
        <v>586</v>
      </c>
      <c r="B241" t="s">
        <v>585</v>
      </c>
      <c r="C241" s="69">
        <v>43840</v>
      </c>
      <c r="D241" s="28">
        <v>7500</v>
      </c>
    </row>
    <row r="242" spans="1:4" x14ac:dyDescent="0.25">
      <c r="A242" t="s">
        <v>970</v>
      </c>
      <c r="B242" t="s">
        <v>969</v>
      </c>
      <c r="C242" s="69">
        <v>43840</v>
      </c>
      <c r="D242" s="28">
        <v>3000</v>
      </c>
    </row>
    <row r="243" spans="1:4" x14ac:dyDescent="0.25">
      <c r="A243" t="s">
        <v>328</v>
      </c>
      <c r="B243" t="s">
        <v>329</v>
      </c>
      <c r="C243" s="69">
        <v>43840</v>
      </c>
      <c r="D243" s="28">
        <v>900</v>
      </c>
    </row>
    <row r="244" spans="1:4" x14ac:dyDescent="0.25">
      <c r="A244" t="s">
        <v>1059</v>
      </c>
      <c r="B244" t="s">
        <v>1058</v>
      </c>
      <c r="C244" s="69">
        <v>43840</v>
      </c>
      <c r="D244" s="28">
        <v>5670.7030000000004</v>
      </c>
    </row>
    <row r="245" spans="1:4" x14ac:dyDescent="0.25">
      <c r="A245" t="s">
        <v>795</v>
      </c>
      <c r="B245" t="s">
        <v>805</v>
      </c>
      <c r="C245" s="69">
        <v>43840</v>
      </c>
      <c r="D245" s="28">
        <v>2000</v>
      </c>
    </row>
    <row r="246" spans="1:4" x14ac:dyDescent="0.25">
      <c r="A246" t="s">
        <v>625</v>
      </c>
      <c r="B246" t="s">
        <v>674</v>
      </c>
      <c r="C246" s="69">
        <v>43840</v>
      </c>
      <c r="D246" s="28">
        <v>3248.1729999999998</v>
      </c>
    </row>
    <row r="247" spans="1:4" x14ac:dyDescent="0.25">
      <c r="A247" t="s">
        <v>301</v>
      </c>
      <c r="B247" t="s">
        <v>302</v>
      </c>
      <c r="C247" s="69">
        <v>43840</v>
      </c>
      <c r="D247" s="28">
        <v>2400</v>
      </c>
    </row>
    <row r="248" spans="1:4" x14ac:dyDescent="0.25">
      <c r="A248" t="s">
        <v>339</v>
      </c>
      <c r="B248" t="s">
        <v>340</v>
      </c>
      <c r="C248" s="69">
        <v>43841</v>
      </c>
      <c r="D248" s="28">
        <v>889.25</v>
      </c>
    </row>
    <row r="249" spans="1:4" x14ac:dyDescent="0.25">
      <c r="A249" t="s">
        <v>349</v>
      </c>
      <c r="B249" t="s">
        <v>350</v>
      </c>
      <c r="C249" s="69">
        <v>43841</v>
      </c>
      <c r="D249" s="28">
        <v>750</v>
      </c>
    </row>
    <row r="250" spans="1:4" x14ac:dyDescent="0.25">
      <c r="A250" t="s">
        <v>511</v>
      </c>
      <c r="B250" t="s">
        <v>512</v>
      </c>
      <c r="C250" s="69">
        <v>43842</v>
      </c>
      <c r="D250" s="28">
        <v>4000</v>
      </c>
    </row>
    <row r="251" spans="1:4" x14ac:dyDescent="0.25">
      <c r="A251" t="s">
        <v>601</v>
      </c>
      <c r="B251" t="s">
        <v>273</v>
      </c>
      <c r="C251" s="69">
        <v>43842</v>
      </c>
      <c r="D251" s="28">
        <v>1321.809</v>
      </c>
    </row>
    <row r="252" spans="1:4" x14ac:dyDescent="0.25">
      <c r="A252" t="s">
        <v>945</v>
      </c>
      <c r="B252" t="s">
        <v>787</v>
      </c>
      <c r="C252" s="69">
        <v>43842</v>
      </c>
      <c r="D252" s="28">
        <v>5281.4070000000002</v>
      </c>
    </row>
    <row r="253" spans="1:4" x14ac:dyDescent="0.25">
      <c r="A253" t="s">
        <v>848</v>
      </c>
      <c r="B253" t="s">
        <v>847</v>
      </c>
      <c r="C253" s="69">
        <v>43842</v>
      </c>
      <c r="D253" s="28">
        <v>3395</v>
      </c>
    </row>
    <row r="254" spans="1:4" x14ac:dyDescent="0.25">
      <c r="A254" t="s">
        <v>445</v>
      </c>
      <c r="B254" t="s">
        <v>293</v>
      </c>
      <c r="C254" s="69">
        <v>43842</v>
      </c>
      <c r="D254" s="28">
        <v>1591.8040000000001</v>
      </c>
    </row>
    <row r="255" spans="1:4" x14ac:dyDescent="0.25">
      <c r="A255" t="s">
        <v>633</v>
      </c>
      <c r="B255" t="s">
        <v>431</v>
      </c>
      <c r="C255" s="69">
        <v>43842</v>
      </c>
      <c r="D255" s="28">
        <v>1782.3579999999999</v>
      </c>
    </row>
    <row r="256" spans="1:4" x14ac:dyDescent="0.25">
      <c r="A256" t="s">
        <v>349</v>
      </c>
      <c r="B256" t="s">
        <v>350</v>
      </c>
      <c r="C256" s="69">
        <v>43842</v>
      </c>
      <c r="D256" s="28">
        <v>1544.4570000000001</v>
      </c>
    </row>
    <row r="257" spans="1:4" x14ac:dyDescent="0.25">
      <c r="A257" t="s">
        <v>447</v>
      </c>
      <c r="B257" t="s">
        <v>276</v>
      </c>
      <c r="C257" s="69">
        <v>43842</v>
      </c>
      <c r="D257" s="28">
        <v>513.84699999999998</v>
      </c>
    </row>
    <row r="258" spans="1:4" x14ac:dyDescent="0.25">
      <c r="A258" t="s">
        <v>274</v>
      </c>
      <c r="B258" t="s">
        <v>665</v>
      </c>
      <c r="C258" s="69">
        <v>43843</v>
      </c>
      <c r="D258" s="28">
        <v>2000</v>
      </c>
    </row>
    <row r="259" spans="1:4" x14ac:dyDescent="0.25">
      <c r="A259" t="s">
        <v>282</v>
      </c>
      <c r="B259" t="s">
        <v>283</v>
      </c>
      <c r="C259" s="69">
        <v>43843</v>
      </c>
      <c r="D259" s="28">
        <v>1500</v>
      </c>
    </row>
    <row r="260" spans="1:4" x14ac:dyDescent="0.25">
      <c r="A260" t="s">
        <v>304</v>
      </c>
      <c r="B260" t="s">
        <v>305</v>
      </c>
      <c r="C260" s="69">
        <v>43843</v>
      </c>
      <c r="D260" s="28">
        <v>974.702</v>
      </c>
    </row>
    <row r="261" spans="1:4" x14ac:dyDescent="0.25">
      <c r="A261" t="s">
        <v>279</v>
      </c>
      <c r="B261" t="s">
        <v>669</v>
      </c>
      <c r="C261" s="69">
        <v>43843</v>
      </c>
      <c r="D261" s="28">
        <v>2490</v>
      </c>
    </row>
    <row r="262" spans="1:4" x14ac:dyDescent="0.25">
      <c r="A262" t="s">
        <v>339</v>
      </c>
      <c r="B262" t="s">
        <v>340</v>
      </c>
      <c r="C262" s="69">
        <v>43843</v>
      </c>
      <c r="D262" s="28">
        <v>892.25</v>
      </c>
    </row>
    <row r="263" spans="1:4" x14ac:dyDescent="0.25">
      <c r="A263" t="s">
        <v>489</v>
      </c>
      <c r="B263" t="s">
        <v>403</v>
      </c>
      <c r="C263" s="69">
        <v>43843</v>
      </c>
      <c r="D263" s="28">
        <v>1000</v>
      </c>
    </row>
    <row r="264" spans="1:4" x14ac:dyDescent="0.25">
      <c r="A264" t="s">
        <v>357</v>
      </c>
      <c r="B264" t="s">
        <v>358</v>
      </c>
      <c r="C264" s="69">
        <v>43843</v>
      </c>
      <c r="D264" s="28">
        <v>2450</v>
      </c>
    </row>
    <row r="265" spans="1:4" x14ac:dyDescent="0.25">
      <c r="A265" t="s">
        <v>317</v>
      </c>
      <c r="B265" t="s">
        <v>318</v>
      </c>
      <c r="C265" s="69">
        <v>43843</v>
      </c>
      <c r="D265" s="28">
        <v>1500</v>
      </c>
    </row>
    <row r="266" spans="1:4" x14ac:dyDescent="0.25">
      <c r="A266" t="s">
        <v>758</v>
      </c>
      <c r="B266" t="s">
        <v>757</v>
      </c>
      <c r="C266" s="69">
        <v>43843</v>
      </c>
      <c r="D266" s="28">
        <v>625</v>
      </c>
    </row>
    <row r="267" spans="1:4" x14ac:dyDescent="0.25">
      <c r="A267" t="s">
        <v>858</v>
      </c>
      <c r="B267" t="s">
        <v>857</v>
      </c>
      <c r="C267" s="69">
        <v>43843</v>
      </c>
      <c r="D267" s="28">
        <v>272.56200000000001</v>
      </c>
    </row>
    <row r="268" spans="1:4" x14ac:dyDescent="0.25">
      <c r="A268" t="s">
        <v>719</v>
      </c>
      <c r="B268" t="s">
        <v>664</v>
      </c>
      <c r="C268" s="69">
        <v>43844</v>
      </c>
      <c r="D268" s="28">
        <v>6305.2830000000004</v>
      </c>
    </row>
    <row r="269" spans="1:4" x14ac:dyDescent="0.25">
      <c r="A269" t="s">
        <v>303</v>
      </c>
      <c r="B269" t="s">
        <v>670</v>
      </c>
      <c r="C269" s="69">
        <v>43844</v>
      </c>
      <c r="D269" s="28">
        <v>1650</v>
      </c>
    </row>
    <row r="270" spans="1:4" x14ac:dyDescent="0.25">
      <c r="A270" t="s">
        <v>460</v>
      </c>
      <c r="B270" t="s">
        <v>461</v>
      </c>
      <c r="C270" s="69">
        <v>43845</v>
      </c>
      <c r="D270" s="28">
        <v>5647.1310000000003</v>
      </c>
    </row>
    <row r="271" spans="1:4" x14ac:dyDescent="0.25">
      <c r="A271" t="s">
        <v>282</v>
      </c>
      <c r="B271" t="s">
        <v>283</v>
      </c>
      <c r="C271" s="69">
        <v>43845</v>
      </c>
      <c r="D271" s="28">
        <v>1500</v>
      </c>
    </row>
    <row r="272" spans="1:4" x14ac:dyDescent="0.25">
      <c r="A272" t="s">
        <v>813</v>
      </c>
      <c r="B272" t="s">
        <v>420</v>
      </c>
      <c r="C272" s="69">
        <v>43845</v>
      </c>
      <c r="D272" s="28">
        <v>1000</v>
      </c>
    </row>
    <row r="273" spans="1:4" x14ac:dyDescent="0.25">
      <c r="A273" t="s">
        <v>306</v>
      </c>
      <c r="B273" t="s">
        <v>307</v>
      </c>
      <c r="C273" s="69">
        <v>43845</v>
      </c>
      <c r="D273" s="28">
        <v>8000</v>
      </c>
    </row>
    <row r="274" spans="1:4" x14ac:dyDescent="0.25">
      <c r="A274" t="s">
        <v>308</v>
      </c>
      <c r="B274" t="s">
        <v>309</v>
      </c>
      <c r="C274" s="69">
        <v>43845</v>
      </c>
      <c r="D274" s="28">
        <v>972.10400000000004</v>
      </c>
    </row>
    <row r="275" spans="1:4" x14ac:dyDescent="0.25">
      <c r="A275" t="s">
        <v>502</v>
      </c>
      <c r="B275" t="s">
        <v>507</v>
      </c>
      <c r="C275" s="69">
        <v>43845</v>
      </c>
      <c r="D275" s="28">
        <v>4000</v>
      </c>
    </row>
    <row r="276" spans="1:4" x14ac:dyDescent="0.25">
      <c r="A276" t="s">
        <v>312</v>
      </c>
      <c r="B276" t="s">
        <v>313</v>
      </c>
      <c r="C276" s="69">
        <v>43845</v>
      </c>
      <c r="D276" s="28">
        <v>805</v>
      </c>
    </row>
    <row r="277" spans="1:4" x14ac:dyDescent="0.25">
      <c r="A277" t="s">
        <v>1083</v>
      </c>
      <c r="B277" t="s">
        <v>1084</v>
      </c>
      <c r="C277" s="69">
        <v>43845</v>
      </c>
      <c r="D277" s="28">
        <v>802.125</v>
      </c>
    </row>
    <row r="278" spans="1:4" x14ac:dyDescent="0.25">
      <c r="A278" t="s">
        <v>271</v>
      </c>
      <c r="B278" t="s">
        <v>272</v>
      </c>
      <c r="C278" s="69">
        <v>43845</v>
      </c>
      <c r="D278" s="28">
        <v>3000</v>
      </c>
    </row>
    <row r="279" spans="1:4" x14ac:dyDescent="0.25">
      <c r="A279" t="s">
        <v>744</v>
      </c>
      <c r="B279" t="s">
        <v>743</v>
      </c>
      <c r="C279" s="69">
        <v>43845</v>
      </c>
      <c r="D279" s="28">
        <v>254.797</v>
      </c>
    </row>
    <row r="280" spans="1:4" x14ac:dyDescent="0.25">
      <c r="A280" t="s">
        <v>896</v>
      </c>
      <c r="B280" t="s">
        <v>895</v>
      </c>
      <c r="C280" s="69">
        <v>43845</v>
      </c>
      <c r="D280" s="28">
        <v>2719.4679999999998</v>
      </c>
    </row>
    <row r="281" spans="1:4" x14ac:dyDescent="0.25">
      <c r="A281" t="s">
        <v>1362</v>
      </c>
      <c r="B281" t="s">
        <v>1361</v>
      </c>
      <c r="C281" s="69">
        <v>43845</v>
      </c>
      <c r="D281" s="28">
        <v>281.44</v>
      </c>
    </row>
    <row r="282" spans="1:4" x14ac:dyDescent="0.25">
      <c r="A282" t="s">
        <v>1364</v>
      </c>
      <c r="B282" t="s">
        <v>1363</v>
      </c>
      <c r="C282" s="69">
        <v>43845</v>
      </c>
      <c r="D282" s="28">
        <v>3000</v>
      </c>
    </row>
    <row r="283" spans="1:4" x14ac:dyDescent="0.25">
      <c r="A283" t="s">
        <v>1447</v>
      </c>
      <c r="B283" t="s">
        <v>1446</v>
      </c>
      <c r="C283" s="69">
        <v>43845</v>
      </c>
      <c r="D283" s="28">
        <v>803.255</v>
      </c>
    </row>
    <row r="284" spans="1:4" x14ac:dyDescent="0.25">
      <c r="A284" t="s">
        <v>885</v>
      </c>
      <c r="B284" t="s">
        <v>446</v>
      </c>
      <c r="C284" s="69">
        <v>43845</v>
      </c>
      <c r="D284" s="28">
        <v>530.423</v>
      </c>
    </row>
    <row r="285" spans="1:4" x14ac:dyDescent="0.25">
      <c r="A285" t="s">
        <v>776</v>
      </c>
      <c r="B285" t="s">
        <v>327</v>
      </c>
      <c r="C285" s="69">
        <v>43845</v>
      </c>
      <c r="D285" s="28">
        <v>1098.5440000000001</v>
      </c>
    </row>
    <row r="286" spans="1:4" x14ac:dyDescent="0.25">
      <c r="A286" t="s">
        <v>929</v>
      </c>
      <c r="B286" t="s">
        <v>488</v>
      </c>
      <c r="C286" s="69">
        <v>43845</v>
      </c>
      <c r="D286" s="28">
        <v>5384.5929999999998</v>
      </c>
    </row>
    <row r="287" spans="1:4" x14ac:dyDescent="0.25">
      <c r="A287" t="s">
        <v>695</v>
      </c>
      <c r="B287" t="s">
        <v>359</v>
      </c>
      <c r="C287" s="69">
        <v>43845</v>
      </c>
      <c r="D287" s="28">
        <v>1125</v>
      </c>
    </row>
    <row r="288" spans="1:4" x14ac:dyDescent="0.25">
      <c r="A288" t="s">
        <v>833</v>
      </c>
      <c r="B288" t="s">
        <v>662</v>
      </c>
      <c r="C288" s="69">
        <v>43845</v>
      </c>
      <c r="D288" s="28">
        <v>14118.514999999999</v>
      </c>
    </row>
    <row r="289" spans="1:4" x14ac:dyDescent="0.25">
      <c r="A289" t="s">
        <v>618</v>
      </c>
      <c r="B289" t="s">
        <v>286</v>
      </c>
      <c r="C289" s="69">
        <v>43845</v>
      </c>
      <c r="D289" s="28">
        <v>6000</v>
      </c>
    </row>
    <row r="290" spans="1:4" x14ac:dyDescent="0.25">
      <c r="A290" t="s">
        <v>326</v>
      </c>
      <c r="B290" t="s">
        <v>295</v>
      </c>
      <c r="C290" s="69">
        <v>43845</v>
      </c>
      <c r="D290" s="28">
        <v>1000</v>
      </c>
    </row>
    <row r="291" spans="1:4" x14ac:dyDescent="0.25">
      <c r="A291" t="s">
        <v>754</v>
      </c>
      <c r="B291" t="s">
        <v>448</v>
      </c>
      <c r="C291" s="69">
        <v>43845</v>
      </c>
      <c r="D291" s="28">
        <v>13267.455</v>
      </c>
    </row>
    <row r="292" spans="1:4" x14ac:dyDescent="0.25">
      <c r="A292" t="s">
        <v>790</v>
      </c>
      <c r="B292" t="s">
        <v>338</v>
      </c>
      <c r="C292" s="69">
        <v>43845</v>
      </c>
      <c r="D292" s="28">
        <v>2621.5210000000002</v>
      </c>
    </row>
    <row r="293" spans="1:4" x14ac:dyDescent="0.25">
      <c r="A293" t="s">
        <v>976</v>
      </c>
      <c r="B293" t="s">
        <v>510</v>
      </c>
      <c r="C293" s="69">
        <v>43845</v>
      </c>
      <c r="D293" s="28">
        <v>951.72500000000002</v>
      </c>
    </row>
    <row r="294" spans="1:4" x14ac:dyDescent="0.25">
      <c r="A294" t="s">
        <v>993</v>
      </c>
      <c r="B294" t="s">
        <v>291</v>
      </c>
      <c r="C294" s="69">
        <v>43845</v>
      </c>
      <c r="D294" s="28">
        <v>3733</v>
      </c>
    </row>
    <row r="295" spans="1:4" x14ac:dyDescent="0.25">
      <c r="A295" t="s">
        <v>994</v>
      </c>
      <c r="B295" t="s">
        <v>366</v>
      </c>
      <c r="C295" s="69">
        <v>43845</v>
      </c>
      <c r="D295" s="28">
        <v>2833.489</v>
      </c>
    </row>
    <row r="296" spans="1:4" x14ac:dyDescent="0.25">
      <c r="A296" t="s">
        <v>326</v>
      </c>
      <c r="B296" t="s">
        <v>295</v>
      </c>
      <c r="C296" s="69">
        <v>43845</v>
      </c>
      <c r="D296" s="28">
        <v>500</v>
      </c>
    </row>
    <row r="297" spans="1:4" x14ac:dyDescent="0.25">
      <c r="A297" t="s">
        <v>444</v>
      </c>
      <c r="B297" t="s">
        <v>316</v>
      </c>
      <c r="C297" s="69">
        <v>43845</v>
      </c>
      <c r="D297" s="28">
        <v>1361.6289999999999</v>
      </c>
    </row>
    <row r="298" spans="1:4" x14ac:dyDescent="0.25">
      <c r="A298" t="s">
        <v>1039</v>
      </c>
      <c r="B298" t="s">
        <v>563</v>
      </c>
      <c r="C298" s="69">
        <v>43845</v>
      </c>
      <c r="D298" s="28">
        <v>16931.502</v>
      </c>
    </row>
    <row r="299" spans="1:4" x14ac:dyDescent="0.25">
      <c r="A299" t="s">
        <v>937</v>
      </c>
      <c r="B299" t="s">
        <v>936</v>
      </c>
      <c r="C299" s="69">
        <v>43845</v>
      </c>
      <c r="D299" s="28">
        <v>9181.902</v>
      </c>
    </row>
    <row r="300" spans="1:4" x14ac:dyDescent="0.25">
      <c r="A300" t="s">
        <v>804</v>
      </c>
      <c r="B300" t="s">
        <v>284</v>
      </c>
      <c r="C300" s="69">
        <v>43845</v>
      </c>
      <c r="D300" s="28">
        <v>513.84199999999998</v>
      </c>
    </row>
    <row r="301" spans="1:4" x14ac:dyDescent="0.25">
      <c r="A301" t="s">
        <v>1178</v>
      </c>
      <c r="B301" t="s">
        <v>356</v>
      </c>
      <c r="C301" s="69">
        <v>43845</v>
      </c>
      <c r="D301" s="28">
        <v>4000</v>
      </c>
    </row>
    <row r="302" spans="1:4" x14ac:dyDescent="0.25">
      <c r="A302" t="s">
        <v>1196</v>
      </c>
      <c r="B302" t="s">
        <v>785</v>
      </c>
      <c r="C302" s="69">
        <v>43845</v>
      </c>
      <c r="D302" s="28">
        <v>1483.816</v>
      </c>
    </row>
    <row r="303" spans="1:4" x14ac:dyDescent="0.25">
      <c r="A303" t="s">
        <v>1198</v>
      </c>
      <c r="B303" t="s">
        <v>1197</v>
      </c>
      <c r="C303" s="69">
        <v>43845</v>
      </c>
      <c r="D303" s="28">
        <v>1379.2750000000001</v>
      </c>
    </row>
    <row r="304" spans="1:4" x14ac:dyDescent="0.25">
      <c r="A304" t="s">
        <v>974</v>
      </c>
      <c r="B304" t="s">
        <v>555</v>
      </c>
      <c r="C304" s="69">
        <v>43845</v>
      </c>
      <c r="D304" s="28">
        <v>1122.8330000000001</v>
      </c>
    </row>
    <row r="305" spans="1:4" x14ac:dyDescent="0.25">
      <c r="A305" t="s">
        <v>1146</v>
      </c>
      <c r="B305" t="s">
        <v>874</v>
      </c>
      <c r="C305" s="69">
        <v>43845</v>
      </c>
      <c r="D305" s="28">
        <v>6683.1059999999998</v>
      </c>
    </row>
    <row r="306" spans="1:4" x14ac:dyDescent="0.25">
      <c r="A306" t="s">
        <v>408</v>
      </c>
      <c r="B306" t="s">
        <v>409</v>
      </c>
      <c r="C306" s="69">
        <v>43845</v>
      </c>
      <c r="D306" s="28">
        <v>1260</v>
      </c>
    </row>
    <row r="307" spans="1:4" x14ac:dyDescent="0.25">
      <c r="A307" t="s">
        <v>753</v>
      </c>
      <c r="B307" t="s">
        <v>458</v>
      </c>
      <c r="C307" s="69">
        <v>43845</v>
      </c>
      <c r="D307" s="28">
        <v>4894.5370000000003</v>
      </c>
    </row>
    <row r="308" spans="1:4" x14ac:dyDescent="0.25">
      <c r="A308" t="s">
        <v>450</v>
      </c>
      <c r="B308" t="s">
        <v>451</v>
      </c>
      <c r="C308" s="69">
        <v>43845</v>
      </c>
      <c r="D308" s="28">
        <v>3488.7629999999999</v>
      </c>
    </row>
    <row r="309" spans="1:4" x14ac:dyDescent="0.25">
      <c r="A309" t="s">
        <v>415</v>
      </c>
      <c r="B309" t="s">
        <v>679</v>
      </c>
      <c r="C309" s="69">
        <v>43845</v>
      </c>
      <c r="D309" s="28">
        <v>8631.0589999999993</v>
      </c>
    </row>
    <row r="310" spans="1:4" x14ac:dyDescent="0.25">
      <c r="A310" t="s">
        <v>647</v>
      </c>
      <c r="B310" t="s">
        <v>646</v>
      </c>
      <c r="C310" s="69">
        <v>43845</v>
      </c>
      <c r="D310" s="28">
        <v>2000</v>
      </c>
    </row>
    <row r="311" spans="1:4" x14ac:dyDescent="0.25">
      <c r="A311" t="s">
        <v>328</v>
      </c>
      <c r="B311" t="s">
        <v>329</v>
      </c>
      <c r="C311" s="69">
        <v>43845</v>
      </c>
      <c r="D311" s="28">
        <v>900</v>
      </c>
    </row>
    <row r="312" spans="1:4" x14ac:dyDescent="0.25">
      <c r="A312" t="s">
        <v>548</v>
      </c>
      <c r="B312" t="s">
        <v>547</v>
      </c>
      <c r="C312" s="69">
        <v>43845</v>
      </c>
      <c r="D312" s="28">
        <v>1500</v>
      </c>
    </row>
    <row r="313" spans="1:4" x14ac:dyDescent="0.25">
      <c r="A313" t="s">
        <v>1200</v>
      </c>
      <c r="B313" t="s">
        <v>1199</v>
      </c>
      <c r="C313" s="69">
        <v>43845</v>
      </c>
      <c r="D313" s="28">
        <v>683.42200000000003</v>
      </c>
    </row>
    <row r="314" spans="1:4" x14ac:dyDescent="0.25">
      <c r="A314" t="s">
        <v>988</v>
      </c>
      <c r="B314" t="s">
        <v>987</v>
      </c>
      <c r="C314" s="69">
        <v>43845</v>
      </c>
      <c r="D314" s="28">
        <v>1716.002</v>
      </c>
    </row>
    <row r="315" spans="1:4" x14ac:dyDescent="0.25">
      <c r="A315" t="s">
        <v>1161</v>
      </c>
      <c r="B315" t="s">
        <v>678</v>
      </c>
      <c r="C315" s="69">
        <v>43845</v>
      </c>
      <c r="D315" s="28">
        <v>248.745</v>
      </c>
    </row>
    <row r="316" spans="1:4" x14ac:dyDescent="0.25">
      <c r="A316" t="s">
        <v>928</v>
      </c>
      <c r="B316" t="s">
        <v>927</v>
      </c>
      <c r="C316" s="69">
        <v>43845</v>
      </c>
      <c r="D316" s="28">
        <v>448.68400000000003</v>
      </c>
    </row>
    <row r="317" spans="1:4" x14ac:dyDescent="0.25">
      <c r="A317" t="s">
        <v>301</v>
      </c>
      <c r="B317" t="s">
        <v>302</v>
      </c>
      <c r="C317" s="69">
        <v>43845</v>
      </c>
      <c r="D317" s="28">
        <v>2275</v>
      </c>
    </row>
    <row r="318" spans="1:4" x14ac:dyDescent="0.25">
      <c r="A318" t="s">
        <v>382</v>
      </c>
      <c r="B318" t="s">
        <v>383</v>
      </c>
      <c r="C318" s="69">
        <v>43845</v>
      </c>
      <c r="D318" s="28">
        <v>1428.222</v>
      </c>
    </row>
    <row r="319" spans="1:4" x14ac:dyDescent="0.25">
      <c r="A319" t="s">
        <v>437</v>
      </c>
      <c r="B319" t="s">
        <v>438</v>
      </c>
      <c r="C319" s="69">
        <v>43845</v>
      </c>
      <c r="D319" s="28">
        <v>3000</v>
      </c>
    </row>
    <row r="320" spans="1:4" x14ac:dyDescent="0.25">
      <c r="A320" t="s">
        <v>984</v>
      </c>
      <c r="B320" t="s">
        <v>983</v>
      </c>
      <c r="C320" s="69">
        <v>43845</v>
      </c>
      <c r="D320" s="28">
        <v>1117.3330000000001</v>
      </c>
    </row>
    <row r="321" spans="1:4" x14ac:dyDescent="0.25">
      <c r="A321" t="s">
        <v>345</v>
      </c>
      <c r="B321" t="s">
        <v>346</v>
      </c>
      <c r="C321" s="69">
        <v>43845</v>
      </c>
      <c r="D321" s="28">
        <v>1679.604</v>
      </c>
    </row>
    <row r="322" spans="1:4" x14ac:dyDescent="0.25">
      <c r="A322" t="s">
        <v>274</v>
      </c>
      <c r="B322" t="s">
        <v>665</v>
      </c>
      <c r="C322" s="69">
        <v>43846</v>
      </c>
      <c r="D322" s="28">
        <v>2000</v>
      </c>
    </row>
    <row r="323" spans="1:4" x14ac:dyDescent="0.25">
      <c r="A323" t="s">
        <v>270</v>
      </c>
      <c r="B323" t="s">
        <v>666</v>
      </c>
      <c r="C323" s="69">
        <v>43846</v>
      </c>
      <c r="D323" s="28">
        <v>1865.2429999999999</v>
      </c>
    </row>
    <row r="324" spans="1:4" x14ac:dyDescent="0.25">
      <c r="A324" t="s">
        <v>697</v>
      </c>
      <c r="B324" t="s">
        <v>486</v>
      </c>
      <c r="C324" s="69">
        <v>43846</v>
      </c>
      <c r="D324" s="28">
        <v>900</v>
      </c>
    </row>
    <row r="325" spans="1:4" x14ac:dyDescent="0.25">
      <c r="A325" t="s">
        <v>336</v>
      </c>
      <c r="B325" t="s">
        <v>337</v>
      </c>
      <c r="C325" s="69">
        <v>43846</v>
      </c>
      <c r="D325" s="28">
        <v>3090</v>
      </c>
    </row>
    <row r="326" spans="1:4" x14ac:dyDescent="0.25">
      <c r="A326" t="s">
        <v>304</v>
      </c>
      <c r="B326" t="s">
        <v>305</v>
      </c>
      <c r="C326" s="69">
        <v>43847</v>
      </c>
      <c r="D326" s="28">
        <v>974.702</v>
      </c>
    </row>
    <row r="327" spans="1:4" x14ac:dyDescent="0.25">
      <c r="A327" t="s">
        <v>791</v>
      </c>
      <c r="B327" t="s">
        <v>803</v>
      </c>
      <c r="C327" s="69">
        <v>43847</v>
      </c>
      <c r="D327" s="28">
        <v>3000</v>
      </c>
    </row>
    <row r="328" spans="1:4" x14ac:dyDescent="0.25">
      <c r="A328" t="s">
        <v>445</v>
      </c>
      <c r="B328" t="s">
        <v>293</v>
      </c>
      <c r="C328" s="69">
        <v>43847</v>
      </c>
      <c r="D328" s="28">
        <v>1591.806</v>
      </c>
    </row>
    <row r="329" spans="1:4" x14ac:dyDescent="0.25">
      <c r="A329" t="s">
        <v>1033</v>
      </c>
      <c r="B329" t="s">
        <v>359</v>
      </c>
      <c r="C329" s="69">
        <v>43847</v>
      </c>
      <c r="D329" s="28">
        <v>1143</v>
      </c>
    </row>
    <row r="330" spans="1:4" x14ac:dyDescent="0.25">
      <c r="A330" t="s">
        <v>456</v>
      </c>
      <c r="B330" t="s">
        <v>457</v>
      </c>
      <c r="C330" s="69">
        <v>43847</v>
      </c>
      <c r="D330" s="28">
        <v>3062.7069999999999</v>
      </c>
    </row>
    <row r="331" spans="1:4" x14ac:dyDescent="0.25">
      <c r="A331" t="s">
        <v>319</v>
      </c>
      <c r="B331" t="s">
        <v>320</v>
      </c>
      <c r="C331" s="69">
        <v>43847</v>
      </c>
      <c r="D331" s="28">
        <v>3000</v>
      </c>
    </row>
    <row r="332" spans="1:4" x14ac:dyDescent="0.25">
      <c r="A332" t="s">
        <v>334</v>
      </c>
      <c r="B332" t="s">
        <v>335</v>
      </c>
      <c r="C332" s="69">
        <v>43847</v>
      </c>
      <c r="D332" s="28">
        <v>3144.5320000000002</v>
      </c>
    </row>
    <row r="333" spans="1:4" x14ac:dyDescent="0.25">
      <c r="A333" t="s">
        <v>713</v>
      </c>
      <c r="B333" t="s">
        <v>712</v>
      </c>
      <c r="C333" s="69">
        <v>43847</v>
      </c>
      <c r="D333" s="28">
        <v>3000</v>
      </c>
    </row>
    <row r="334" spans="1:4" x14ac:dyDescent="0.25">
      <c r="A334" t="s">
        <v>425</v>
      </c>
      <c r="B334" t="s">
        <v>426</v>
      </c>
      <c r="C334" s="69">
        <v>43848</v>
      </c>
      <c r="D334" s="28">
        <v>3500</v>
      </c>
    </row>
    <row r="335" spans="1:4" x14ac:dyDescent="0.25">
      <c r="A335" t="s">
        <v>511</v>
      </c>
      <c r="B335" t="s">
        <v>512</v>
      </c>
      <c r="C335" s="69">
        <v>43849</v>
      </c>
      <c r="D335" s="28">
        <v>4000</v>
      </c>
    </row>
    <row r="336" spans="1:4" x14ac:dyDescent="0.25">
      <c r="A336" t="s">
        <v>279</v>
      </c>
      <c r="B336" t="s">
        <v>669</v>
      </c>
      <c r="C336" s="69">
        <v>43849</v>
      </c>
      <c r="D336" s="28">
        <v>2496</v>
      </c>
    </row>
    <row r="337" spans="1:4" x14ac:dyDescent="0.25">
      <c r="A337" t="s">
        <v>1037</v>
      </c>
      <c r="B337" t="s">
        <v>471</v>
      </c>
      <c r="C337" s="69">
        <v>43849</v>
      </c>
      <c r="D337" s="28">
        <v>3000</v>
      </c>
    </row>
    <row r="338" spans="1:4" x14ac:dyDescent="0.25">
      <c r="A338" t="s">
        <v>1445</v>
      </c>
      <c r="B338" t="s">
        <v>1444</v>
      </c>
      <c r="C338" s="69">
        <v>43849</v>
      </c>
      <c r="D338" s="28">
        <v>257.10500000000002</v>
      </c>
    </row>
    <row r="339" spans="1:4" x14ac:dyDescent="0.25">
      <c r="A339" t="s">
        <v>1443</v>
      </c>
      <c r="B339" t="s">
        <v>1442</v>
      </c>
      <c r="C339" s="69">
        <v>43849</v>
      </c>
      <c r="D339" s="28">
        <v>673.18799999999999</v>
      </c>
    </row>
    <row r="340" spans="1:4" x14ac:dyDescent="0.25">
      <c r="A340" t="s">
        <v>482</v>
      </c>
      <c r="B340" t="s">
        <v>483</v>
      </c>
      <c r="C340" s="69">
        <v>43849</v>
      </c>
      <c r="D340" s="28">
        <v>7000</v>
      </c>
    </row>
    <row r="341" spans="1:4" x14ac:dyDescent="0.25">
      <c r="A341" t="s">
        <v>832</v>
      </c>
      <c r="B341" t="s">
        <v>841</v>
      </c>
      <c r="C341" s="69">
        <v>43849</v>
      </c>
      <c r="D341" s="28">
        <v>394.57900000000001</v>
      </c>
    </row>
    <row r="342" spans="1:4" x14ac:dyDescent="0.25">
      <c r="A342" t="s">
        <v>858</v>
      </c>
      <c r="B342" t="s">
        <v>857</v>
      </c>
      <c r="C342" s="69">
        <v>43849</v>
      </c>
      <c r="D342" s="28">
        <v>380</v>
      </c>
    </row>
    <row r="343" spans="1:4" x14ac:dyDescent="0.25">
      <c r="A343" t="s">
        <v>875</v>
      </c>
      <c r="B343" t="s">
        <v>772</v>
      </c>
      <c r="C343" s="69">
        <v>43850</v>
      </c>
      <c r="D343" s="28">
        <v>722.82799999999997</v>
      </c>
    </row>
    <row r="344" spans="1:4" x14ac:dyDescent="0.25">
      <c r="A344" t="s">
        <v>274</v>
      </c>
      <c r="B344" t="s">
        <v>665</v>
      </c>
      <c r="C344" s="69">
        <v>43850</v>
      </c>
      <c r="D344" s="28">
        <v>1521</v>
      </c>
    </row>
    <row r="345" spans="1:4" x14ac:dyDescent="0.25">
      <c r="A345" t="s">
        <v>1038</v>
      </c>
      <c r="B345" t="s">
        <v>481</v>
      </c>
      <c r="C345" s="69">
        <v>43850</v>
      </c>
      <c r="D345" s="28">
        <v>4000</v>
      </c>
    </row>
    <row r="346" spans="1:4" x14ac:dyDescent="0.25">
      <c r="A346" t="s">
        <v>332</v>
      </c>
      <c r="B346" t="s">
        <v>333</v>
      </c>
      <c r="C346" s="69">
        <v>43850</v>
      </c>
      <c r="D346" s="28">
        <v>550</v>
      </c>
    </row>
    <row r="347" spans="1:4" x14ac:dyDescent="0.25">
      <c r="A347" t="s">
        <v>310</v>
      </c>
      <c r="B347" t="s">
        <v>311</v>
      </c>
      <c r="C347" s="69">
        <v>43850</v>
      </c>
      <c r="D347" s="28">
        <v>1329.153</v>
      </c>
    </row>
    <row r="348" spans="1:4" x14ac:dyDescent="0.25">
      <c r="A348" t="s">
        <v>312</v>
      </c>
      <c r="B348" t="s">
        <v>313</v>
      </c>
      <c r="C348" s="69">
        <v>43850</v>
      </c>
      <c r="D348" s="28">
        <v>825</v>
      </c>
    </row>
    <row r="349" spans="1:4" x14ac:dyDescent="0.25">
      <c r="A349" t="s">
        <v>729</v>
      </c>
      <c r="B349" t="s">
        <v>384</v>
      </c>
      <c r="C349" s="69">
        <v>43850</v>
      </c>
      <c r="D349" s="28">
        <v>1207.3910000000001</v>
      </c>
    </row>
    <row r="350" spans="1:4" x14ac:dyDescent="0.25">
      <c r="A350" t="s">
        <v>280</v>
      </c>
      <c r="B350" t="s">
        <v>281</v>
      </c>
      <c r="C350" s="69">
        <v>43850</v>
      </c>
      <c r="D350" s="28">
        <v>1456.625</v>
      </c>
    </row>
    <row r="351" spans="1:4" x14ac:dyDescent="0.25">
      <c r="A351" t="s">
        <v>277</v>
      </c>
      <c r="B351" t="s">
        <v>278</v>
      </c>
      <c r="C351" s="69">
        <v>43850</v>
      </c>
      <c r="D351" s="28">
        <v>760</v>
      </c>
    </row>
    <row r="352" spans="1:4" x14ac:dyDescent="0.25">
      <c r="A352" t="s">
        <v>354</v>
      </c>
      <c r="B352" t="s">
        <v>355</v>
      </c>
      <c r="C352" s="69">
        <v>43850</v>
      </c>
      <c r="D352" s="28">
        <v>1912.875</v>
      </c>
    </row>
    <row r="353" spans="1:4" x14ac:dyDescent="0.25">
      <c r="A353" t="s">
        <v>964</v>
      </c>
      <c r="B353" t="s">
        <v>432</v>
      </c>
      <c r="C353" s="69">
        <v>43850</v>
      </c>
      <c r="D353" s="28">
        <v>2000</v>
      </c>
    </row>
    <row r="354" spans="1:4" x14ac:dyDescent="0.25">
      <c r="A354" t="s">
        <v>890</v>
      </c>
      <c r="B354" t="s">
        <v>324</v>
      </c>
      <c r="C354" s="69">
        <v>43850</v>
      </c>
      <c r="D354" s="28">
        <v>1824.894</v>
      </c>
    </row>
    <row r="355" spans="1:4" x14ac:dyDescent="0.25">
      <c r="A355" t="s">
        <v>445</v>
      </c>
      <c r="B355" t="s">
        <v>293</v>
      </c>
      <c r="C355" s="69">
        <v>43850</v>
      </c>
      <c r="D355" s="28">
        <v>1593.318</v>
      </c>
    </row>
    <row r="356" spans="1:4" x14ac:dyDescent="0.25">
      <c r="A356" t="s">
        <v>326</v>
      </c>
      <c r="B356" t="s">
        <v>295</v>
      </c>
      <c r="C356" s="69">
        <v>43850</v>
      </c>
      <c r="D356" s="28">
        <v>700</v>
      </c>
    </row>
    <row r="357" spans="1:4" x14ac:dyDescent="0.25">
      <c r="A357" t="s">
        <v>444</v>
      </c>
      <c r="B357" t="s">
        <v>316</v>
      </c>
      <c r="C357" s="69">
        <v>43850</v>
      </c>
      <c r="D357" s="28">
        <v>1361.6289999999999</v>
      </c>
    </row>
    <row r="358" spans="1:4" x14ac:dyDescent="0.25">
      <c r="A358" t="s">
        <v>973</v>
      </c>
      <c r="B358" t="s">
        <v>296</v>
      </c>
      <c r="C358" s="69">
        <v>43850</v>
      </c>
      <c r="D358" s="28">
        <v>3200</v>
      </c>
    </row>
    <row r="359" spans="1:4" x14ac:dyDescent="0.25">
      <c r="A359" t="s">
        <v>833</v>
      </c>
      <c r="B359" t="s">
        <v>662</v>
      </c>
      <c r="C359" s="69">
        <v>43850</v>
      </c>
      <c r="D359" s="28">
        <v>10000</v>
      </c>
    </row>
    <row r="360" spans="1:4" x14ac:dyDescent="0.25">
      <c r="A360" t="s">
        <v>977</v>
      </c>
      <c r="B360" t="s">
        <v>576</v>
      </c>
      <c r="C360" s="69">
        <v>43850</v>
      </c>
      <c r="D360" s="28">
        <v>693.06500000000005</v>
      </c>
    </row>
    <row r="361" spans="1:4" x14ac:dyDescent="0.25">
      <c r="A361" t="s">
        <v>568</v>
      </c>
      <c r="B361" t="s">
        <v>555</v>
      </c>
      <c r="C361" s="69">
        <v>43850</v>
      </c>
      <c r="D361" s="28">
        <v>812.89700000000005</v>
      </c>
    </row>
    <row r="362" spans="1:4" x14ac:dyDescent="0.25">
      <c r="A362" t="s">
        <v>958</v>
      </c>
      <c r="B362" t="s">
        <v>957</v>
      </c>
      <c r="C362" s="69">
        <v>43850</v>
      </c>
      <c r="D362" s="28">
        <v>2926.9</v>
      </c>
    </row>
    <row r="363" spans="1:4" x14ac:dyDescent="0.25">
      <c r="A363" t="s">
        <v>1144</v>
      </c>
      <c r="B363" t="s">
        <v>400</v>
      </c>
      <c r="C363" s="69">
        <v>43850</v>
      </c>
      <c r="D363" s="28">
        <v>920.19</v>
      </c>
    </row>
    <row r="364" spans="1:4" x14ac:dyDescent="0.25">
      <c r="A364" t="s">
        <v>942</v>
      </c>
      <c r="B364" t="s">
        <v>314</v>
      </c>
      <c r="C364" s="69">
        <v>43850</v>
      </c>
      <c r="D364" s="28">
        <v>348.6</v>
      </c>
    </row>
    <row r="365" spans="1:4" x14ac:dyDescent="0.25">
      <c r="A365" t="s">
        <v>893</v>
      </c>
      <c r="B365" t="s">
        <v>353</v>
      </c>
      <c r="C365" s="69">
        <v>43850</v>
      </c>
      <c r="D365" s="28">
        <v>1360.9</v>
      </c>
    </row>
    <row r="366" spans="1:4" x14ac:dyDescent="0.25">
      <c r="A366" t="s">
        <v>817</v>
      </c>
      <c r="B366" t="s">
        <v>543</v>
      </c>
      <c r="C366" s="69">
        <v>43850</v>
      </c>
      <c r="D366" s="28">
        <v>1862.201</v>
      </c>
    </row>
    <row r="367" spans="1:4" x14ac:dyDescent="0.25">
      <c r="A367" t="s">
        <v>1352</v>
      </c>
      <c r="B367" t="s">
        <v>459</v>
      </c>
      <c r="C367" s="69">
        <v>43850</v>
      </c>
      <c r="D367" s="28">
        <v>1819.84</v>
      </c>
    </row>
    <row r="368" spans="1:4" x14ac:dyDescent="0.25">
      <c r="A368" t="s">
        <v>297</v>
      </c>
      <c r="B368" t="s">
        <v>298</v>
      </c>
      <c r="C368" s="69">
        <v>43850</v>
      </c>
      <c r="D368" s="28">
        <v>2500</v>
      </c>
    </row>
    <row r="369" spans="1:4" x14ac:dyDescent="0.25">
      <c r="A369" t="s">
        <v>756</v>
      </c>
      <c r="B369" t="s">
        <v>344</v>
      </c>
      <c r="C369" s="69">
        <v>43850</v>
      </c>
      <c r="D369" s="28">
        <v>1028.067</v>
      </c>
    </row>
    <row r="370" spans="1:4" x14ac:dyDescent="0.25">
      <c r="A370" t="s">
        <v>410</v>
      </c>
      <c r="B370" t="s">
        <v>411</v>
      </c>
      <c r="C370" s="69">
        <v>43850</v>
      </c>
      <c r="D370" s="28">
        <v>1582.9179999999999</v>
      </c>
    </row>
    <row r="371" spans="1:4" x14ac:dyDescent="0.25">
      <c r="A371" t="s">
        <v>832</v>
      </c>
      <c r="B371" t="s">
        <v>841</v>
      </c>
      <c r="C371" s="69">
        <v>43850</v>
      </c>
      <c r="D371" s="28">
        <v>465.28800000000001</v>
      </c>
    </row>
    <row r="372" spans="1:4" x14ac:dyDescent="0.25">
      <c r="A372" t="s">
        <v>482</v>
      </c>
      <c r="B372" t="s">
        <v>483</v>
      </c>
      <c r="C372" s="69">
        <v>43850</v>
      </c>
      <c r="D372" s="28">
        <v>8960.4410000000007</v>
      </c>
    </row>
    <row r="373" spans="1:4" x14ac:dyDescent="0.25">
      <c r="A373" t="s">
        <v>970</v>
      </c>
      <c r="B373" t="s">
        <v>969</v>
      </c>
      <c r="C373" s="69">
        <v>43850</v>
      </c>
      <c r="D373" s="28">
        <v>3000</v>
      </c>
    </row>
    <row r="374" spans="1:4" x14ac:dyDescent="0.25">
      <c r="A374" t="s">
        <v>349</v>
      </c>
      <c r="B374" t="s">
        <v>350</v>
      </c>
      <c r="C374" s="69">
        <v>43850</v>
      </c>
      <c r="D374" s="28">
        <v>1500</v>
      </c>
    </row>
    <row r="375" spans="1:4" x14ac:dyDescent="0.25">
      <c r="A375" t="s">
        <v>328</v>
      </c>
      <c r="B375" t="s">
        <v>329</v>
      </c>
      <c r="C375" s="69">
        <v>43850</v>
      </c>
      <c r="D375" s="28">
        <v>900</v>
      </c>
    </row>
    <row r="376" spans="1:4" x14ac:dyDescent="0.25">
      <c r="A376" t="s">
        <v>758</v>
      </c>
      <c r="B376" t="s">
        <v>757</v>
      </c>
      <c r="C376" s="69">
        <v>43850</v>
      </c>
      <c r="D376" s="28">
        <v>625</v>
      </c>
    </row>
    <row r="377" spans="1:4" x14ac:dyDescent="0.25">
      <c r="A377" t="s">
        <v>795</v>
      </c>
      <c r="B377" t="s">
        <v>805</v>
      </c>
      <c r="C377" s="69">
        <v>43850</v>
      </c>
      <c r="D377" s="28">
        <v>1850</v>
      </c>
    </row>
    <row r="378" spans="1:4" x14ac:dyDescent="0.25">
      <c r="A378" t="s">
        <v>546</v>
      </c>
      <c r="B378" t="s">
        <v>553</v>
      </c>
      <c r="C378" s="69">
        <v>43850</v>
      </c>
      <c r="D378" s="28">
        <v>14860.406000000001</v>
      </c>
    </row>
    <row r="379" spans="1:4" x14ac:dyDescent="0.25">
      <c r="A379" t="s">
        <v>625</v>
      </c>
      <c r="B379" t="s">
        <v>674</v>
      </c>
      <c r="C379" s="69">
        <v>43850</v>
      </c>
      <c r="D379" s="28">
        <v>4000</v>
      </c>
    </row>
    <row r="380" spans="1:4" x14ac:dyDescent="0.25">
      <c r="A380" t="s">
        <v>301</v>
      </c>
      <c r="B380" t="s">
        <v>302</v>
      </c>
      <c r="C380" s="69">
        <v>43850</v>
      </c>
      <c r="D380" s="28">
        <v>2280.37</v>
      </c>
    </row>
    <row r="381" spans="1:4" x14ac:dyDescent="0.25">
      <c r="A381" t="s">
        <v>428</v>
      </c>
      <c r="B381" t="s">
        <v>429</v>
      </c>
      <c r="C381" s="69">
        <v>43850</v>
      </c>
      <c r="D381" s="28">
        <v>1500</v>
      </c>
    </row>
    <row r="382" spans="1:4" x14ac:dyDescent="0.25">
      <c r="A382" t="s">
        <v>763</v>
      </c>
      <c r="B382" t="s">
        <v>762</v>
      </c>
      <c r="C382" s="69">
        <v>43850</v>
      </c>
      <c r="D382" s="28">
        <v>700</v>
      </c>
    </row>
    <row r="383" spans="1:4" x14ac:dyDescent="0.25">
      <c r="A383" t="s">
        <v>984</v>
      </c>
      <c r="B383" t="s">
        <v>983</v>
      </c>
      <c r="C383" s="69">
        <v>43850</v>
      </c>
      <c r="D383" s="28">
        <v>1117.7760000000001</v>
      </c>
    </row>
    <row r="384" spans="1:4" x14ac:dyDescent="0.25">
      <c r="A384" t="s">
        <v>1195</v>
      </c>
      <c r="B384" t="s">
        <v>346</v>
      </c>
      <c r="C384" s="69">
        <v>43850</v>
      </c>
      <c r="D384" s="28">
        <v>1679.604</v>
      </c>
    </row>
    <row r="385" spans="1:4" x14ac:dyDescent="0.25">
      <c r="A385" t="s">
        <v>545</v>
      </c>
      <c r="B385" t="s">
        <v>554</v>
      </c>
      <c r="C385" s="69">
        <v>43850</v>
      </c>
      <c r="D385" s="28">
        <v>800</v>
      </c>
    </row>
    <row r="386" spans="1:4" x14ac:dyDescent="0.25">
      <c r="A386" t="s">
        <v>905</v>
      </c>
      <c r="B386" t="s">
        <v>938</v>
      </c>
      <c r="C386" s="69">
        <v>43851</v>
      </c>
      <c r="D386" s="28">
        <v>1000</v>
      </c>
    </row>
    <row r="387" spans="1:4" x14ac:dyDescent="0.25">
      <c r="A387" t="s">
        <v>905</v>
      </c>
      <c r="B387" t="s">
        <v>938</v>
      </c>
      <c r="C387" s="69">
        <v>43851</v>
      </c>
      <c r="D387" s="28">
        <v>903.12300000000005</v>
      </c>
    </row>
    <row r="388" spans="1:4" x14ac:dyDescent="0.25">
      <c r="A388" t="s">
        <v>270</v>
      </c>
      <c r="B388" t="s">
        <v>666</v>
      </c>
      <c r="C388" s="69">
        <v>43851</v>
      </c>
      <c r="D388" s="28">
        <v>2100</v>
      </c>
    </row>
    <row r="389" spans="1:4" x14ac:dyDescent="0.25">
      <c r="A389" t="s">
        <v>303</v>
      </c>
      <c r="B389" t="s">
        <v>670</v>
      </c>
      <c r="C389" s="69">
        <v>43851</v>
      </c>
      <c r="D389" s="28">
        <v>1650</v>
      </c>
    </row>
    <row r="390" spans="1:4" x14ac:dyDescent="0.25">
      <c r="A390" t="s">
        <v>761</v>
      </c>
      <c r="B390" t="s">
        <v>840</v>
      </c>
      <c r="C390" s="69">
        <v>43851</v>
      </c>
      <c r="D390" s="28">
        <v>700</v>
      </c>
    </row>
    <row r="391" spans="1:4" x14ac:dyDescent="0.25">
      <c r="A391" t="s">
        <v>304</v>
      </c>
      <c r="B391" t="s">
        <v>305</v>
      </c>
      <c r="C391" s="69">
        <v>43852</v>
      </c>
      <c r="D391" s="28">
        <v>974.702</v>
      </c>
    </row>
    <row r="392" spans="1:4" x14ac:dyDescent="0.25">
      <c r="A392" t="s">
        <v>617</v>
      </c>
      <c r="B392" t="s">
        <v>620</v>
      </c>
      <c r="C392" s="69">
        <v>43852</v>
      </c>
      <c r="D392" s="28">
        <v>750</v>
      </c>
    </row>
    <row r="393" spans="1:4" x14ac:dyDescent="0.25">
      <c r="A393" t="s">
        <v>339</v>
      </c>
      <c r="B393" t="s">
        <v>340</v>
      </c>
      <c r="C393" s="69">
        <v>43852</v>
      </c>
      <c r="D393" s="28">
        <v>985</v>
      </c>
    </row>
    <row r="394" spans="1:4" x14ac:dyDescent="0.25">
      <c r="A394" t="s">
        <v>794</v>
      </c>
      <c r="B394" t="s">
        <v>480</v>
      </c>
      <c r="C394" s="69">
        <v>43852</v>
      </c>
      <c r="D394" s="28">
        <v>4692.7030000000004</v>
      </c>
    </row>
    <row r="395" spans="1:4" x14ac:dyDescent="0.25">
      <c r="A395" t="s">
        <v>815</v>
      </c>
      <c r="B395" t="s">
        <v>814</v>
      </c>
      <c r="C395" s="69">
        <v>43852</v>
      </c>
      <c r="D395" s="28">
        <v>1208.7850000000001</v>
      </c>
    </row>
    <row r="396" spans="1:4" x14ac:dyDescent="0.25">
      <c r="A396" t="s">
        <v>349</v>
      </c>
      <c r="B396" t="s">
        <v>350</v>
      </c>
      <c r="C396" s="69">
        <v>43852</v>
      </c>
      <c r="D396" s="28">
        <v>750</v>
      </c>
    </row>
    <row r="397" spans="1:4" x14ac:dyDescent="0.25">
      <c r="A397" t="s">
        <v>336</v>
      </c>
      <c r="B397" t="s">
        <v>337</v>
      </c>
      <c r="C397" s="69">
        <v>43852</v>
      </c>
      <c r="D397" s="28">
        <v>3090</v>
      </c>
    </row>
    <row r="398" spans="1:4" x14ac:dyDescent="0.25">
      <c r="A398" t="s">
        <v>357</v>
      </c>
      <c r="B398" t="s">
        <v>358</v>
      </c>
      <c r="C398" s="69">
        <v>43852</v>
      </c>
      <c r="D398" s="28">
        <v>2460</v>
      </c>
    </row>
    <row r="399" spans="1:4" x14ac:dyDescent="0.25">
      <c r="A399" t="s">
        <v>317</v>
      </c>
      <c r="B399" t="s">
        <v>318</v>
      </c>
      <c r="C399" s="69">
        <v>43852</v>
      </c>
      <c r="D399" s="28">
        <v>1500</v>
      </c>
    </row>
    <row r="400" spans="1:4" x14ac:dyDescent="0.25">
      <c r="A400" t="s">
        <v>334</v>
      </c>
      <c r="B400" t="s">
        <v>335</v>
      </c>
      <c r="C400" s="69">
        <v>43852</v>
      </c>
      <c r="D400" s="28">
        <v>881.99</v>
      </c>
    </row>
    <row r="401" spans="1:4" x14ac:dyDescent="0.25">
      <c r="A401" t="s">
        <v>713</v>
      </c>
      <c r="B401" t="s">
        <v>712</v>
      </c>
      <c r="C401" s="69">
        <v>43852</v>
      </c>
      <c r="D401" s="28">
        <v>3000</v>
      </c>
    </row>
    <row r="402" spans="1:4" x14ac:dyDescent="0.25">
      <c r="A402" t="s">
        <v>889</v>
      </c>
      <c r="B402" t="s">
        <v>512</v>
      </c>
      <c r="C402" s="69">
        <v>43853</v>
      </c>
      <c r="D402" s="28">
        <v>3600</v>
      </c>
    </row>
    <row r="403" spans="1:4" x14ac:dyDescent="0.25">
      <c r="A403" t="s">
        <v>274</v>
      </c>
      <c r="B403" t="s">
        <v>665</v>
      </c>
      <c r="C403" s="69">
        <v>43853</v>
      </c>
      <c r="D403" s="28">
        <v>1500</v>
      </c>
    </row>
    <row r="404" spans="1:4" x14ac:dyDescent="0.25">
      <c r="A404" t="s">
        <v>791</v>
      </c>
      <c r="B404" t="s">
        <v>803</v>
      </c>
      <c r="C404" s="69">
        <v>43853</v>
      </c>
      <c r="D404" s="28">
        <v>3500</v>
      </c>
    </row>
    <row r="405" spans="1:4" x14ac:dyDescent="0.25">
      <c r="A405" t="s">
        <v>339</v>
      </c>
      <c r="B405" t="s">
        <v>340</v>
      </c>
      <c r="C405" s="69">
        <v>43853</v>
      </c>
      <c r="D405" s="28">
        <v>986</v>
      </c>
    </row>
    <row r="406" spans="1:4" x14ac:dyDescent="0.25">
      <c r="A406" t="s">
        <v>1037</v>
      </c>
      <c r="B406" t="s">
        <v>471</v>
      </c>
      <c r="C406" s="69">
        <v>43853</v>
      </c>
      <c r="D406" s="28">
        <v>3852.4810000000002</v>
      </c>
    </row>
    <row r="407" spans="1:4" x14ac:dyDescent="0.25">
      <c r="A407" t="s">
        <v>1033</v>
      </c>
      <c r="B407" t="s">
        <v>359</v>
      </c>
      <c r="C407" s="69">
        <v>43853</v>
      </c>
      <c r="D407" s="28">
        <v>1143</v>
      </c>
    </row>
    <row r="408" spans="1:4" x14ac:dyDescent="0.25">
      <c r="A408" t="s">
        <v>697</v>
      </c>
      <c r="B408" t="s">
        <v>486</v>
      </c>
      <c r="C408" s="69">
        <v>43853</v>
      </c>
      <c r="D408" s="28">
        <v>900</v>
      </c>
    </row>
    <row r="409" spans="1:4" x14ac:dyDescent="0.25">
      <c r="A409" t="s">
        <v>978</v>
      </c>
      <c r="B409" t="s">
        <v>401</v>
      </c>
      <c r="C409" s="69">
        <v>43853</v>
      </c>
      <c r="D409" s="28">
        <v>1000</v>
      </c>
    </row>
    <row r="410" spans="1:4" x14ac:dyDescent="0.25">
      <c r="A410" t="s">
        <v>408</v>
      </c>
      <c r="B410" t="s">
        <v>409</v>
      </c>
      <c r="C410" s="69">
        <v>43853</v>
      </c>
      <c r="D410" s="28">
        <v>1260</v>
      </c>
    </row>
    <row r="411" spans="1:4" x14ac:dyDescent="0.25">
      <c r="A411" t="s">
        <v>428</v>
      </c>
      <c r="B411" t="s">
        <v>429</v>
      </c>
      <c r="C411" s="69">
        <v>43853</v>
      </c>
      <c r="D411" s="28">
        <v>1500</v>
      </c>
    </row>
    <row r="412" spans="1:4" x14ac:dyDescent="0.25">
      <c r="A412" t="s">
        <v>617</v>
      </c>
      <c r="B412" t="s">
        <v>620</v>
      </c>
      <c r="C412" s="69">
        <v>43854</v>
      </c>
      <c r="D412" s="28">
        <v>1000</v>
      </c>
    </row>
    <row r="413" spans="1:4" x14ac:dyDescent="0.25">
      <c r="A413" t="s">
        <v>444</v>
      </c>
      <c r="B413" t="s">
        <v>316</v>
      </c>
      <c r="C413" s="69">
        <v>43854</v>
      </c>
      <c r="D413" s="28">
        <v>1361.6289999999999</v>
      </c>
    </row>
    <row r="414" spans="1:4" x14ac:dyDescent="0.25">
      <c r="A414" t="s">
        <v>875</v>
      </c>
      <c r="B414" t="s">
        <v>772</v>
      </c>
      <c r="C414" s="69">
        <v>43855</v>
      </c>
      <c r="D414" s="28">
        <v>722.827</v>
      </c>
    </row>
    <row r="415" spans="1:4" x14ac:dyDescent="0.25">
      <c r="A415" t="s">
        <v>306</v>
      </c>
      <c r="B415" t="s">
        <v>307</v>
      </c>
      <c r="C415" s="69">
        <v>43855</v>
      </c>
      <c r="D415" s="28">
        <v>8000</v>
      </c>
    </row>
    <row r="416" spans="1:4" x14ac:dyDescent="0.25">
      <c r="A416" t="s">
        <v>279</v>
      </c>
      <c r="B416" t="s">
        <v>669</v>
      </c>
      <c r="C416" s="69">
        <v>43855</v>
      </c>
      <c r="D416" s="28">
        <v>2495</v>
      </c>
    </row>
    <row r="417" spans="1:4" x14ac:dyDescent="0.25">
      <c r="A417" t="s">
        <v>312</v>
      </c>
      <c r="B417" t="s">
        <v>313</v>
      </c>
      <c r="C417" s="69">
        <v>43855</v>
      </c>
      <c r="D417" s="28">
        <v>808.95699999999999</v>
      </c>
    </row>
    <row r="418" spans="1:4" x14ac:dyDescent="0.25">
      <c r="A418" t="s">
        <v>271</v>
      </c>
      <c r="B418" t="s">
        <v>272</v>
      </c>
      <c r="C418" s="69">
        <v>43855</v>
      </c>
      <c r="D418" s="28">
        <v>3000</v>
      </c>
    </row>
    <row r="419" spans="1:4" x14ac:dyDescent="0.25">
      <c r="A419" t="s">
        <v>500</v>
      </c>
      <c r="B419" t="s">
        <v>501</v>
      </c>
      <c r="C419" s="69">
        <v>43855</v>
      </c>
      <c r="D419" s="28">
        <v>1504.135</v>
      </c>
    </row>
    <row r="420" spans="1:4" x14ac:dyDescent="0.25">
      <c r="A420" t="s">
        <v>926</v>
      </c>
      <c r="B420" t="s">
        <v>619</v>
      </c>
      <c r="C420" s="69">
        <v>43855</v>
      </c>
      <c r="D420" s="28">
        <v>5000</v>
      </c>
    </row>
    <row r="421" spans="1:4" x14ac:dyDescent="0.25">
      <c r="A421" t="s">
        <v>339</v>
      </c>
      <c r="B421" t="s">
        <v>340</v>
      </c>
      <c r="C421" s="69">
        <v>43855</v>
      </c>
      <c r="D421" s="28">
        <v>987</v>
      </c>
    </row>
    <row r="422" spans="1:4" x14ac:dyDescent="0.25">
      <c r="A422" t="s">
        <v>925</v>
      </c>
      <c r="B422" t="s">
        <v>664</v>
      </c>
      <c r="C422" s="69">
        <v>43855</v>
      </c>
      <c r="D422" s="28">
        <v>6374.64</v>
      </c>
    </row>
    <row r="423" spans="1:4" x14ac:dyDescent="0.25">
      <c r="A423" t="s">
        <v>326</v>
      </c>
      <c r="B423" t="s">
        <v>295</v>
      </c>
      <c r="C423" s="69">
        <v>43855</v>
      </c>
      <c r="D423" s="28">
        <v>3625</v>
      </c>
    </row>
    <row r="424" spans="1:4" x14ac:dyDescent="0.25">
      <c r="A424" t="s">
        <v>789</v>
      </c>
      <c r="B424" t="s">
        <v>671</v>
      </c>
      <c r="C424" s="69">
        <v>43855</v>
      </c>
      <c r="D424" s="28">
        <v>2937.0149999999999</v>
      </c>
    </row>
    <row r="425" spans="1:4" x14ac:dyDescent="0.25">
      <c r="A425" t="s">
        <v>445</v>
      </c>
      <c r="B425" t="s">
        <v>293</v>
      </c>
      <c r="C425" s="69">
        <v>43855</v>
      </c>
      <c r="D425" s="28">
        <v>1593.316</v>
      </c>
    </row>
    <row r="426" spans="1:4" x14ac:dyDescent="0.25">
      <c r="A426" t="s">
        <v>326</v>
      </c>
      <c r="B426" t="s">
        <v>295</v>
      </c>
      <c r="C426" s="69">
        <v>43855</v>
      </c>
      <c r="D426" s="28">
        <v>2000</v>
      </c>
    </row>
    <row r="427" spans="1:4" x14ac:dyDescent="0.25">
      <c r="A427" t="s">
        <v>326</v>
      </c>
      <c r="B427" t="s">
        <v>295</v>
      </c>
      <c r="C427" s="69">
        <v>43855</v>
      </c>
      <c r="D427" s="28">
        <v>550</v>
      </c>
    </row>
    <row r="428" spans="1:4" x14ac:dyDescent="0.25">
      <c r="A428" t="s">
        <v>561</v>
      </c>
      <c r="B428" t="s">
        <v>341</v>
      </c>
      <c r="C428" s="69">
        <v>43855</v>
      </c>
      <c r="D428" s="28">
        <v>2762.9029999999998</v>
      </c>
    </row>
    <row r="429" spans="1:4" x14ac:dyDescent="0.25">
      <c r="A429" t="s">
        <v>616</v>
      </c>
      <c r="B429" t="s">
        <v>576</v>
      </c>
      <c r="C429" s="69">
        <v>43855</v>
      </c>
      <c r="D429" s="28">
        <v>693.06500000000005</v>
      </c>
    </row>
    <row r="430" spans="1:4" x14ac:dyDescent="0.25">
      <c r="A430" t="s">
        <v>1140</v>
      </c>
      <c r="B430" t="s">
        <v>732</v>
      </c>
      <c r="C430" s="69">
        <v>43855</v>
      </c>
      <c r="D430" s="28">
        <v>884.85299999999995</v>
      </c>
    </row>
    <row r="431" spans="1:4" x14ac:dyDescent="0.25">
      <c r="A431" t="s">
        <v>1175</v>
      </c>
      <c r="B431" t="s">
        <v>503</v>
      </c>
      <c r="C431" s="69">
        <v>43855</v>
      </c>
      <c r="D431" s="28">
        <v>900</v>
      </c>
    </row>
    <row r="432" spans="1:4" x14ac:dyDescent="0.25">
      <c r="A432" t="s">
        <v>951</v>
      </c>
      <c r="B432" t="s">
        <v>459</v>
      </c>
      <c r="C432" s="69">
        <v>43855</v>
      </c>
      <c r="D432" s="28">
        <v>1718.377</v>
      </c>
    </row>
    <row r="433" spans="1:4" x14ac:dyDescent="0.25">
      <c r="A433" t="s">
        <v>1360</v>
      </c>
      <c r="B433" t="s">
        <v>959</v>
      </c>
      <c r="C433" s="69">
        <v>43855</v>
      </c>
      <c r="D433" s="28">
        <v>4294.3580000000002</v>
      </c>
    </row>
    <row r="434" spans="1:4" x14ac:dyDescent="0.25">
      <c r="A434" t="s">
        <v>342</v>
      </c>
      <c r="B434" t="s">
        <v>343</v>
      </c>
      <c r="C434" s="69">
        <v>43855</v>
      </c>
      <c r="D434" s="28">
        <v>2500</v>
      </c>
    </row>
    <row r="435" spans="1:4" x14ac:dyDescent="0.25">
      <c r="A435" t="s">
        <v>299</v>
      </c>
      <c r="B435" t="s">
        <v>300</v>
      </c>
      <c r="C435" s="69">
        <v>43855</v>
      </c>
      <c r="D435" s="28">
        <v>1413.693</v>
      </c>
    </row>
    <row r="436" spans="1:4" x14ac:dyDescent="0.25">
      <c r="A436" t="s">
        <v>377</v>
      </c>
      <c r="B436" t="s">
        <v>678</v>
      </c>
      <c r="C436" s="69">
        <v>43855</v>
      </c>
      <c r="D436" s="28">
        <v>3336.0920000000001</v>
      </c>
    </row>
    <row r="437" spans="1:4" x14ac:dyDescent="0.25">
      <c r="A437" t="s">
        <v>330</v>
      </c>
      <c r="B437" t="s">
        <v>331</v>
      </c>
      <c r="C437" s="69">
        <v>43855</v>
      </c>
      <c r="D437" s="28">
        <v>2200</v>
      </c>
    </row>
    <row r="438" spans="1:4" x14ac:dyDescent="0.25">
      <c r="A438" t="s">
        <v>560</v>
      </c>
      <c r="B438" t="s">
        <v>449</v>
      </c>
      <c r="C438" s="69">
        <v>43855</v>
      </c>
      <c r="D438" s="28">
        <v>4000</v>
      </c>
    </row>
    <row r="439" spans="1:4" x14ac:dyDescent="0.25">
      <c r="A439" t="s">
        <v>328</v>
      </c>
      <c r="B439" t="s">
        <v>329</v>
      </c>
      <c r="C439" s="69">
        <v>43855</v>
      </c>
      <c r="D439" s="28">
        <v>900</v>
      </c>
    </row>
    <row r="440" spans="1:4" x14ac:dyDescent="0.25">
      <c r="A440" t="s">
        <v>647</v>
      </c>
      <c r="B440" t="s">
        <v>646</v>
      </c>
      <c r="C440" s="69">
        <v>43855</v>
      </c>
      <c r="D440" s="28">
        <v>2000</v>
      </c>
    </row>
    <row r="441" spans="1:4" x14ac:dyDescent="0.25">
      <c r="A441" t="s">
        <v>345</v>
      </c>
      <c r="B441" t="s">
        <v>346</v>
      </c>
      <c r="C441" s="69">
        <v>43855</v>
      </c>
      <c r="D441" s="28">
        <v>1679.606</v>
      </c>
    </row>
    <row r="442" spans="1:4" x14ac:dyDescent="0.25">
      <c r="A442" t="s">
        <v>761</v>
      </c>
      <c r="B442" t="s">
        <v>840</v>
      </c>
      <c r="C442" s="69">
        <v>43855</v>
      </c>
      <c r="D442" s="28">
        <v>700</v>
      </c>
    </row>
    <row r="443" spans="1:4" x14ac:dyDescent="0.25">
      <c r="A443" t="s">
        <v>972</v>
      </c>
      <c r="B443" t="s">
        <v>971</v>
      </c>
      <c r="C443" s="69">
        <v>43855</v>
      </c>
      <c r="D443" s="28">
        <v>581.44399999999996</v>
      </c>
    </row>
    <row r="444" spans="1:4" x14ac:dyDescent="0.25">
      <c r="A444" t="s">
        <v>511</v>
      </c>
      <c r="B444" t="s">
        <v>512</v>
      </c>
      <c r="C444" s="69">
        <v>43856</v>
      </c>
      <c r="D444" s="28">
        <v>3500</v>
      </c>
    </row>
    <row r="445" spans="1:4" x14ac:dyDescent="0.25">
      <c r="A445" t="s">
        <v>270</v>
      </c>
      <c r="B445" t="s">
        <v>666</v>
      </c>
      <c r="C445" s="69">
        <v>43856</v>
      </c>
      <c r="D445" s="28">
        <v>2100</v>
      </c>
    </row>
    <row r="446" spans="1:4" x14ac:dyDescent="0.25">
      <c r="A446" t="s">
        <v>1037</v>
      </c>
      <c r="B446" t="s">
        <v>471</v>
      </c>
      <c r="C446" s="69">
        <v>43856</v>
      </c>
      <c r="D446" s="28">
        <v>3500</v>
      </c>
    </row>
    <row r="447" spans="1:4" x14ac:dyDescent="0.25">
      <c r="A447" t="s">
        <v>1194</v>
      </c>
      <c r="B447" t="s">
        <v>1193</v>
      </c>
      <c r="C447" s="69">
        <v>43856</v>
      </c>
      <c r="D447" s="28">
        <v>1780.1780000000001</v>
      </c>
    </row>
    <row r="448" spans="1:4" x14ac:dyDescent="0.25">
      <c r="A448" t="s">
        <v>544</v>
      </c>
      <c r="B448" t="s">
        <v>321</v>
      </c>
      <c r="C448" s="69">
        <v>43856</v>
      </c>
      <c r="D448" s="28">
        <v>1233.2829999999999</v>
      </c>
    </row>
    <row r="449" spans="1:4" x14ac:dyDescent="0.25">
      <c r="A449" t="s">
        <v>274</v>
      </c>
      <c r="B449" t="s">
        <v>665</v>
      </c>
      <c r="C449" s="69">
        <v>43857</v>
      </c>
      <c r="D449" s="28">
        <v>2000</v>
      </c>
    </row>
    <row r="450" spans="1:4" x14ac:dyDescent="0.25">
      <c r="A450" t="s">
        <v>277</v>
      </c>
      <c r="B450" t="s">
        <v>278</v>
      </c>
      <c r="C450" s="69">
        <v>43857</v>
      </c>
      <c r="D450" s="28">
        <v>760</v>
      </c>
    </row>
    <row r="451" spans="1:4" x14ac:dyDescent="0.25">
      <c r="A451" t="s">
        <v>339</v>
      </c>
      <c r="B451" t="s">
        <v>340</v>
      </c>
      <c r="C451" s="69">
        <v>43857</v>
      </c>
      <c r="D451" s="28">
        <v>988</v>
      </c>
    </row>
    <row r="452" spans="1:4" x14ac:dyDescent="0.25">
      <c r="A452" t="s">
        <v>1192</v>
      </c>
      <c r="B452" t="s">
        <v>733</v>
      </c>
      <c r="C452" s="69">
        <v>43857</v>
      </c>
      <c r="D452" s="28">
        <v>690.32399999999996</v>
      </c>
    </row>
    <row r="453" spans="1:4" x14ac:dyDescent="0.25">
      <c r="A453" t="s">
        <v>758</v>
      </c>
      <c r="B453" t="s">
        <v>757</v>
      </c>
      <c r="C453" s="69">
        <v>43857</v>
      </c>
      <c r="D453" s="28">
        <v>625</v>
      </c>
    </row>
    <row r="454" spans="1:4" x14ac:dyDescent="0.25">
      <c r="A454" t="s">
        <v>351</v>
      </c>
      <c r="B454" t="s">
        <v>352</v>
      </c>
      <c r="C454" s="69">
        <v>43857</v>
      </c>
      <c r="D454" s="28">
        <v>16169.493</v>
      </c>
    </row>
    <row r="455" spans="1:4" x14ac:dyDescent="0.25">
      <c r="A455" t="s">
        <v>289</v>
      </c>
      <c r="B455" t="s">
        <v>290</v>
      </c>
      <c r="C455" s="69">
        <v>43858</v>
      </c>
      <c r="D455" s="28">
        <v>12675.769</v>
      </c>
    </row>
    <row r="456" spans="1:4" x14ac:dyDescent="0.25">
      <c r="A456" t="s">
        <v>564</v>
      </c>
      <c r="B456" t="s">
        <v>288</v>
      </c>
      <c r="C456" s="69">
        <v>43858</v>
      </c>
      <c r="D456" s="28">
        <v>1020.312</v>
      </c>
    </row>
    <row r="457" spans="1:4" x14ac:dyDescent="0.25">
      <c r="A457" t="s">
        <v>792</v>
      </c>
      <c r="B457" t="s">
        <v>371</v>
      </c>
      <c r="C457" s="69">
        <v>43858</v>
      </c>
      <c r="D457" s="28">
        <v>4593.5320000000002</v>
      </c>
    </row>
    <row r="458" spans="1:4" x14ac:dyDescent="0.25">
      <c r="A458" t="s">
        <v>754</v>
      </c>
      <c r="B458" t="s">
        <v>448</v>
      </c>
      <c r="C458" s="69">
        <v>43858</v>
      </c>
      <c r="D458" s="28">
        <v>2766.105</v>
      </c>
    </row>
    <row r="459" spans="1:4" x14ac:dyDescent="0.25">
      <c r="A459" t="s">
        <v>1039</v>
      </c>
      <c r="B459" t="s">
        <v>563</v>
      </c>
      <c r="C459" s="69">
        <v>43858</v>
      </c>
      <c r="D459" s="28">
        <v>14948.724</v>
      </c>
    </row>
    <row r="460" spans="1:4" x14ac:dyDescent="0.25">
      <c r="A460" t="s">
        <v>425</v>
      </c>
      <c r="B460" t="s">
        <v>426</v>
      </c>
      <c r="C460" s="69">
        <v>43858</v>
      </c>
      <c r="D460" s="28">
        <v>3000</v>
      </c>
    </row>
    <row r="461" spans="1:4" x14ac:dyDescent="0.25">
      <c r="A461" t="s">
        <v>336</v>
      </c>
      <c r="B461" t="s">
        <v>337</v>
      </c>
      <c r="C461" s="69">
        <v>43858</v>
      </c>
      <c r="D461" s="28">
        <v>3090</v>
      </c>
    </row>
    <row r="462" spans="1:4" x14ac:dyDescent="0.25">
      <c r="A462" t="s">
        <v>330</v>
      </c>
      <c r="B462" t="s">
        <v>331</v>
      </c>
      <c r="C462" s="69">
        <v>43858</v>
      </c>
      <c r="D462" s="28">
        <v>2222.665</v>
      </c>
    </row>
    <row r="463" spans="1:4" x14ac:dyDescent="0.25">
      <c r="A463" t="s">
        <v>428</v>
      </c>
      <c r="B463" t="s">
        <v>429</v>
      </c>
      <c r="C463" s="69">
        <v>43858</v>
      </c>
      <c r="D463" s="28">
        <v>1500</v>
      </c>
    </row>
    <row r="464" spans="1:4" x14ac:dyDescent="0.25">
      <c r="A464" t="s">
        <v>303</v>
      </c>
      <c r="B464" t="s">
        <v>670</v>
      </c>
      <c r="C464" s="69">
        <v>43858</v>
      </c>
      <c r="D464" s="28">
        <v>1650</v>
      </c>
    </row>
    <row r="465" spans="1:4" x14ac:dyDescent="0.25">
      <c r="A465" t="s">
        <v>443</v>
      </c>
      <c r="B465" t="s">
        <v>676</v>
      </c>
      <c r="C465" s="69">
        <v>43859</v>
      </c>
      <c r="D465" s="28">
        <v>2004.2170000000001</v>
      </c>
    </row>
    <row r="466" spans="1:4" x14ac:dyDescent="0.25">
      <c r="A466" t="s">
        <v>339</v>
      </c>
      <c r="B466" t="s">
        <v>340</v>
      </c>
      <c r="C466" s="69">
        <v>43859</v>
      </c>
      <c r="D466" s="28">
        <v>989</v>
      </c>
    </row>
    <row r="467" spans="1:4" x14ac:dyDescent="0.25">
      <c r="A467" t="s">
        <v>444</v>
      </c>
      <c r="B467" t="s">
        <v>316</v>
      </c>
      <c r="C467" s="69">
        <v>43859</v>
      </c>
      <c r="D467" s="28">
        <v>1361.6289999999999</v>
      </c>
    </row>
    <row r="468" spans="1:4" x14ac:dyDescent="0.25">
      <c r="A468" t="s">
        <v>317</v>
      </c>
      <c r="B468" t="s">
        <v>318</v>
      </c>
      <c r="C468" s="69">
        <v>43859</v>
      </c>
      <c r="D468" s="28">
        <v>1500</v>
      </c>
    </row>
    <row r="469" spans="1:4" x14ac:dyDescent="0.25">
      <c r="A469" t="s">
        <v>858</v>
      </c>
      <c r="B469" t="s">
        <v>857</v>
      </c>
      <c r="C469" s="69">
        <v>43859</v>
      </c>
      <c r="D469" s="28">
        <v>385.72199999999998</v>
      </c>
    </row>
    <row r="470" spans="1:4" x14ac:dyDescent="0.25">
      <c r="A470" t="s">
        <v>982</v>
      </c>
      <c r="B470" t="s">
        <v>981</v>
      </c>
      <c r="C470" s="69">
        <v>43859</v>
      </c>
      <c r="D470" s="28">
        <v>150</v>
      </c>
    </row>
    <row r="471" spans="1:4" x14ac:dyDescent="0.25">
      <c r="A471" t="s">
        <v>441</v>
      </c>
      <c r="B471" t="s">
        <v>442</v>
      </c>
      <c r="C471" s="69">
        <v>43860</v>
      </c>
      <c r="D471" s="28">
        <v>3247.154</v>
      </c>
    </row>
    <row r="472" spans="1:4" x14ac:dyDescent="0.25">
      <c r="A472" t="s">
        <v>385</v>
      </c>
      <c r="B472" t="s">
        <v>386</v>
      </c>
      <c r="C472" s="69">
        <v>43860</v>
      </c>
      <c r="D472" s="28">
        <v>2147.1019999999999</v>
      </c>
    </row>
    <row r="473" spans="1:4" x14ac:dyDescent="0.25">
      <c r="A473" t="s">
        <v>421</v>
      </c>
      <c r="B473" t="s">
        <v>422</v>
      </c>
      <c r="C473" s="69">
        <v>43860</v>
      </c>
      <c r="D473" s="28">
        <v>5000</v>
      </c>
    </row>
    <row r="474" spans="1:4" x14ac:dyDescent="0.25">
      <c r="A474" t="s">
        <v>332</v>
      </c>
      <c r="B474" t="s">
        <v>333</v>
      </c>
      <c r="C474" s="69">
        <v>43860</v>
      </c>
      <c r="D474" s="28">
        <v>595.351</v>
      </c>
    </row>
    <row r="475" spans="1:4" x14ac:dyDescent="0.25">
      <c r="A475" t="s">
        <v>387</v>
      </c>
      <c r="B475" t="s">
        <v>388</v>
      </c>
      <c r="C475" s="69">
        <v>43860</v>
      </c>
      <c r="D475" s="28">
        <v>1280</v>
      </c>
    </row>
    <row r="476" spans="1:4" x14ac:dyDescent="0.25">
      <c r="A476" t="s">
        <v>460</v>
      </c>
      <c r="B476" t="s">
        <v>461</v>
      </c>
      <c r="C476" s="69">
        <v>43860</v>
      </c>
      <c r="D476" s="28">
        <v>7250.0410000000002</v>
      </c>
    </row>
    <row r="477" spans="1:4" x14ac:dyDescent="0.25">
      <c r="A477" t="s">
        <v>631</v>
      </c>
      <c r="B477" t="s">
        <v>632</v>
      </c>
      <c r="C477" s="69">
        <v>43860</v>
      </c>
      <c r="D477" s="28">
        <v>10259.514999999999</v>
      </c>
    </row>
    <row r="478" spans="1:4" x14ac:dyDescent="0.25">
      <c r="A478" t="s">
        <v>904</v>
      </c>
      <c r="B478" t="s">
        <v>583</v>
      </c>
      <c r="C478" s="69">
        <v>43860</v>
      </c>
      <c r="D478" s="28">
        <v>8778.7070000000003</v>
      </c>
    </row>
    <row r="479" spans="1:4" x14ac:dyDescent="0.25">
      <c r="A479" t="s">
        <v>559</v>
      </c>
      <c r="B479" t="s">
        <v>558</v>
      </c>
      <c r="C479" s="69">
        <v>43860</v>
      </c>
      <c r="D479" s="28">
        <v>5641.0469999999996</v>
      </c>
    </row>
    <row r="480" spans="1:4" x14ac:dyDescent="0.25">
      <c r="A480" t="s">
        <v>1079</v>
      </c>
      <c r="B480" t="s">
        <v>1143</v>
      </c>
      <c r="C480" s="69">
        <v>43860</v>
      </c>
      <c r="D480" s="28">
        <v>1546.559</v>
      </c>
    </row>
    <row r="481" spans="1:4" x14ac:dyDescent="0.25">
      <c r="A481" t="s">
        <v>630</v>
      </c>
      <c r="B481" t="s">
        <v>680</v>
      </c>
      <c r="C481" s="69">
        <v>43860</v>
      </c>
      <c r="D481" s="28">
        <v>2189.511</v>
      </c>
    </row>
    <row r="482" spans="1:4" x14ac:dyDescent="0.25">
      <c r="A482" t="s">
        <v>854</v>
      </c>
      <c r="B482" t="s">
        <v>853</v>
      </c>
      <c r="C482" s="69">
        <v>43860</v>
      </c>
      <c r="D482" s="28">
        <v>5880.0959999999995</v>
      </c>
    </row>
    <row r="483" spans="1:4" x14ac:dyDescent="0.25">
      <c r="A483" t="s">
        <v>852</v>
      </c>
      <c r="B483" t="s">
        <v>851</v>
      </c>
      <c r="C483" s="69">
        <v>43860</v>
      </c>
      <c r="D483" s="28">
        <v>989.93499999999995</v>
      </c>
    </row>
    <row r="484" spans="1:4" x14ac:dyDescent="0.25">
      <c r="A484" t="s">
        <v>852</v>
      </c>
      <c r="B484" t="s">
        <v>851</v>
      </c>
      <c r="C484" s="69">
        <v>43860</v>
      </c>
      <c r="D484" s="28">
        <v>1000</v>
      </c>
    </row>
    <row r="485" spans="1:4" x14ac:dyDescent="0.25">
      <c r="A485" t="s">
        <v>312</v>
      </c>
      <c r="B485" t="s">
        <v>313</v>
      </c>
      <c r="C485" s="69">
        <v>43860</v>
      </c>
      <c r="D485" s="28">
        <v>1101.415</v>
      </c>
    </row>
    <row r="486" spans="1:4" x14ac:dyDescent="0.25">
      <c r="A486" t="s">
        <v>460</v>
      </c>
      <c r="B486" t="s">
        <v>461</v>
      </c>
      <c r="C486" s="69">
        <v>43860</v>
      </c>
      <c r="D486" s="28">
        <v>6200.38</v>
      </c>
    </row>
    <row r="487" spans="1:4" x14ac:dyDescent="0.25">
      <c r="A487" t="s">
        <v>956</v>
      </c>
      <c r="B487" t="s">
        <v>955</v>
      </c>
      <c r="C487" s="69">
        <v>43860</v>
      </c>
      <c r="D487" s="28">
        <v>1197.27</v>
      </c>
    </row>
    <row r="488" spans="1:4" x14ac:dyDescent="0.25">
      <c r="A488" t="s">
        <v>999</v>
      </c>
      <c r="B488" t="s">
        <v>998</v>
      </c>
      <c r="C488" s="69">
        <v>43860</v>
      </c>
      <c r="D488" s="28">
        <v>3976.42</v>
      </c>
    </row>
    <row r="489" spans="1:4" x14ac:dyDescent="0.25">
      <c r="A489" t="s">
        <v>1295</v>
      </c>
      <c r="B489" t="s">
        <v>1294</v>
      </c>
      <c r="C489" s="69">
        <v>43860</v>
      </c>
      <c r="D489" s="28">
        <v>534.76099999999997</v>
      </c>
    </row>
    <row r="490" spans="1:4" x14ac:dyDescent="0.25">
      <c r="A490" t="s">
        <v>751</v>
      </c>
      <c r="B490" t="s">
        <v>485</v>
      </c>
      <c r="C490" s="69">
        <v>43860</v>
      </c>
      <c r="D490" s="28">
        <v>7685.2470000000003</v>
      </c>
    </row>
    <row r="491" spans="1:4" x14ac:dyDescent="0.25">
      <c r="A491" t="s">
        <v>618</v>
      </c>
      <c r="B491" t="s">
        <v>286</v>
      </c>
      <c r="C491" s="69">
        <v>43860</v>
      </c>
      <c r="D491" s="28">
        <v>6000</v>
      </c>
    </row>
    <row r="492" spans="1:4" x14ac:dyDescent="0.25">
      <c r="A492" t="s">
        <v>445</v>
      </c>
      <c r="B492" t="s">
        <v>293</v>
      </c>
      <c r="C492" s="69">
        <v>43860</v>
      </c>
      <c r="D492" s="28">
        <v>1593.3150000000001</v>
      </c>
    </row>
    <row r="493" spans="1:4" x14ac:dyDescent="0.25">
      <c r="A493" t="s">
        <v>993</v>
      </c>
      <c r="B493" t="s">
        <v>291</v>
      </c>
      <c r="C493" s="69">
        <v>43860</v>
      </c>
      <c r="D493" s="28">
        <v>3733</v>
      </c>
    </row>
    <row r="494" spans="1:4" x14ac:dyDescent="0.25">
      <c r="A494" t="s">
        <v>833</v>
      </c>
      <c r="B494" t="s">
        <v>662</v>
      </c>
      <c r="C494" s="69">
        <v>43860</v>
      </c>
      <c r="D494" s="28">
        <v>10000</v>
      </c>
    </row>
    <row r="495" spans="1:4" x14ac:dyDescent="0.25">
      <c r="A495" t="s">
        <v>877</v>
      </c>
      <c r="B495" t="s">
        <v>287</v>
      </c>
      <c r="C495" s="69">
        <v>43860</v>
      </c>
      <c r="D495" s="28">
        <v>745.6</v>
      </c>
    </row>
    <row r="496" spans="1:4" x14ac:dyDescent="0.25">
      <c r="A496" t="s">
        <v>1036</v>
      </c>
      <c r="B496" t="s">
        <v>873</v>
      </c>
      <c r="C496" s="69">
        <v>43860</v>
      </c>
      <c r="D496" s="28">
        <v>1319.328</v>
      </c>
    </row>
    <row r="497" spans="1:4" x14ac:dyDescent="0.25">
      <c r="A497" t="s">
        <v>883</v>
      </c>
      <c r="B497" t="s">
        <v>323</v>
      </c>
      <c r="C497" s="69">
        <v>43860</v>
      </c>
      <c r="D497" s="28">
        <v>1370.7270000000001</v>
      </c>
    </row>
    <row r="498" spans="1:4" x14ac:dyDescent="0.25">
      <c r="A498" t="s">
        <v>941</v>
      </c>
      <c r="B498" t="s">
        <v>940</v>
      </c>
      <c r="C498" s="69">
        <v>43860</v>
      </c>
      <c r="D498" s="28">
        <v>1278.7719999999999</v>
      </c>
    </row>
    <row r="499" spans="1:4" x14ac:dyDescent="0.25">
      <c r="A499" t="s">
        <v>1082</v>
      </c>
      <c r="B499" t="s">
        <v>360</v>
      </c>
      <c r="C499" s="69">
        <v>43860</v>
      </c>
      <c r="D499" s="28">
        <v>2415.973</v>
      </c>
    </row>
    <row r="500" spans="1:4" x14ac:dyDescent="0.25">
      <c r="A500" t="s">
        <v>950</v>
      </c>
      <c r="B500" t="s">
        <v>949</v>
      </c>
      <c r="C500" s="69">
        <v>43860</v>
      </c>
      <c r="D500" s="28">
        <v>781.64800000000002</v>
      </c>
    </row>
    <row r="501" spans="1:4" x14ac:dyDescent="0.25">
      <c r="A501" t="s">
        <v>846</v>
      </c>
      <c r="B501" t="s">
        <v>361</v>
      </c>
      <c r="C501" s="69">
        <v>43860</v>
      </c>
      <c r="D501" s="28">
        <v>1366.1369999999999</v>
      </c>
    </row>
    <row r="502" spans="1:4" x14ac:dyDescent="0.25">
      <c r="A502" t="s">
        <v>946</v>
      </c>
      <c r="B502" t="s">
        <v>369</v>
      </c>
      <c r="C502" s="69">
        <v>43860</v>
      </c>
      <c r="D502" s="28">
        <v>1361.8409999999999</v>
      </c>
    </row>
    <row r="503" spans="1:4" x14ac:dyDescent="0.25">
      <c r="A503" t="s">
        <v>879</v>
      </c>
      <c r="B503" t="s">
        <v>366</v>
      </c>
      <c r="C503" s="69">
        <v>43860</v>
      </c>
      <c r="D503" s="28">
        <v>2000</v>
      </c>
    </row>
    <row r="504" spans="1:4" x14ac:dyDescent="0.25">
      <c r="A504" t="s">
        <v>1054</v>
      </c>
      <c r="B504" t="s">
        <v>562</v>
      </c>
      <c r="C504" s="69">
        <v>43860</v>
      </c>
      <c r="D504" s="28">
        <v>1920.961</v>
      </c>
    </row>
    <row r="505" spans="1:4" x14ac:dyDescent="0.25">
      <c r="A505" t="s">
        <v>697</v>
      </c>
      <c r="B505" t="s">
        <v>486</v>
      </c>
      <c r="C505" s="69">
        <v>43860</v>
      </c>
      <c r="D505" s="28">
        <v>745.98699999999997</v>
      </c>
    </row>
    <row r="506" spans="1:4" x14ac:dyDescent="0.25">
      <c r="A506" t="s">
        <v>1191</v>
      </c>
      <c r="B506" t="s">
        <v>759</v>
      </c>
      <c r="C506" s="69">
        <v>43860</v>
      </c>
      <c r="D506" s="28">
        <v>881.53399999999999</v>
      </c>
    </row>
    <row r="507" spans="1:4" x14ac:dyDescent="0.25">
      <c r="A507" t="s">
        <v>1245</v>
      </c>
      <c r="B507" t="s">
        <v>819</v>
      </c>
      <c r="C507" s="69">
        <v>43860</v>
      </c>
      <c r="D507" s="28">
        <v>500</v>
      </c>
    </row>
    <row r="508" spans="1:4" x14ac:dyDescent="0.25">
      <c r="A508" t="s">
        <v>1293</v>
      </c>
      <c r="B508" t="s">
        <v>1292</v>
      </c>
      <c r="C508" s="69">
        <v>43860</v>
      </c>
      <c r="D508" s="28">
        <v>1032.509</v>
      </c>
    </row>
    <row r="509" spans="1:4" x14ac:dyDescent="0.25">
      <c r="A509" t="s">
        <v>1359</v>
      </c>
      <c r="B509" t="s">
        <v>1358</v>
      </c>
      <c r="C509" s="69">
        <v>43860</v>
      </c>
      <c r="D509" s="28">
        <v>560.798</v>
      </c>
    </row>
    <row r="510" spans="1:4" x14ac:dyDescent="0.25">
      <c r="A510" t="s">
        <v>1357</v>
      </c>
      <c r="B510" t="s">
        <v>367</v>
      </c>
      <c r="C510" s="69">
        <v>43860</v>
      </c>
      <c r="D510" s="28">
        <v>6742.5349999999999</v>
      </c>
    </row>
    <row r="511" spans="1:4" x14ac:dyDescent="0.25">
      <c r="A511" t="s">
        <v>1035</v>
      </c>
      <c r="B511" t="s">
        <v>547</v>
      </c>
      <c r="C511" s="69">
        <v>43860</v>
      </c>
      <c r="D511" s="28">
        <v>2000</v>
      </c>
    </row>
    <row r="512" spans="1:4" x14ac:dyDescent="0.25">
      <c r="A512" t="s">
        <v>970</v>
      </c>
      <c r="B512" t="s">
        <v>969</v>
      </c>
      <c r="C512" s="69">
        <v>43860</v>
      </c>
      <c r="D512" s="28">
        <v>3125.5149999999999</v>
      </c>
    </row>
    <row r="513" spans="1:4" x14ac:dyDescent="0.25">
      <c r="A513" t="s">
        <v>1034</v>
      </c>
      <c r="B513" t="s">
        <v>816</v>
      </c>
      <c r="C513" s="69">
        <v>43860</v>
      </c>
      <c r="D513" s="28">
        <v>271.35500000000002</v>
      </c>
    </row>
    <row r="514" spans="1:4" x14ac:dyDescent="0.25">
      <c r="A514" t="s">
        <v>724</v>
      </c>
      <c r="B514" t="s">
        <v>723</v>
      </c>
      <c r="C514" s="69">
        <v>43860</v>
      </c>
      <c r="D514" s="28">
        <v>3547.1179999999999</v>
      </c>
    </row>
    <row r="515" spans="1:4" x14ac:dyDescent="0.25">
      <c r="A515" t="s">
        <v>1200</v>
      </c>
      <c r="B515" t="s">
        <v>1199</v>
      </c>
      <c r="C515" s="69">
        <v>43860</v>
      </c>
      <c r="D515" s="28">
        <v>509.32499999999999</v>
      </c>
    </row>
    <row r="516" spans="1:4" x14ac:dyDescent="0.25">
      <c r="A516" t="s">
        <v>661</v>
      </c>
      <c r="B516" t="s">
        <v>660</v>
      </c>
      <c r="C516" s="69">
        <v>43860</v>
      </c>
      <c r="D516" s="28">
        <v>2194.27</v>
      </c>
    </row>
    <row r="517" spans="1:4" x14ac:dyDescent="0.25">
      <c r="A517" t="s">
        <v>334</v>
      </c>
      <c r="B517" t="s">
        <v>335</v>
      </c>
      <c r="C517" s="69">
        <v>43860</v>
      </c>
      <c r="D517" s="28">
        <v>3100</v>
      </c>
    </row>
    <row r="518" spans="1:4" x14ac:dyDescent="0.25">
      <c r="A518" t="s">
        <v>382</v>
      </c>
      <c r="B518" t="s">
        <v>383</v>
      </c>
      <c r="C518" s="69">
        <v>43860</v>
      </c>
      <c r="D518" s="28">
        <v>1428.222</v>
      </c>
    </row>
    <row r="519" spans="1:4" x14ac:dyDescent="0.25">
      <c r="A519" t="s">
        <v>301</v>
      </c>
      <c r="B519" t="s">
        <v>302</v>
      </c>
      <c r="C519" s="69">
        <v>43860</v>
      </c>
      <c r="D519" s="28">
        <v>2400</v>
      </c>
    </row>
    <row r="520" spans="1:4" x14ac:dyDescent="0.25">
      <c r="A520" t="s">
        <v>437</v>
      </c>
      <c r="B520" t="s">
        <v>438</v>
      </c>
      <c r="C520" s="69">
        <v>43860</v>
      </c>
      <c r="D520" s="28">
        <v>3000</v>
      </c>
    </row>
    <row r="521" spans="1:4" x14ac:dyDescent="0.25">
      <c r="A521" t="s">
        <v>545</v>
      </c>
      <c r="B521" t="s">
        <v>554</v>
      </c>
      <c r="C521" s="69">
        <v>43860</v>
      </c>
      <c r="D521" s="28">
        <v>1000</v>
      </c>
    </row>
    <row r="522" spans="1:4" x14ac:dyDescent="0.25">
      <c r="A522" t="s">
        <v>889</v>
      </c>
      <c r="B522" t="s">
        <v>512</v>
      </c>
      <c r="C522" s="69">
        <v>43861</v>
      </c>
      <c r="D522" s="28">
        <v>3600</v>
      </c>
    </row>
    <row r="523" spans="1:4" x14ac:dyDescent="0.25">
      <c r="A523" t="s">
        <v>378</v>
      </c>
      <c r="B523" t="s">
        <v>379</v>
      </c>
      <c r="C523" s="69">
        <v>43861</v>
      </c>
      <c r="D523" s="28">
        <v>5000</v>
      </c>
    </row>
    <row r="524" spans="1:4" x14ac:dyDescent="0.25">
      <c r="A524" t="s">
        <v>378</v>
      </c>
      <c r="B524" t="s">
        <v>379</v>
      </c>
      <c r="C524" s="69">
        <v>43861</v>
      </c>
      <c r="D524" s="28">
        <v>5167.46</v>
      </c>
    </row>
    <row r="525" spans="1:4" x14ac:dyDescent="0.25">
      <c r="A525" t="s">
        <v>378</v>
      </c>
      <c r="B525" t="s">
        <v>379</v>
      </c>
      <c r="C525" s="69">
        <v>43861</v>
      </c>
      <c r="D525" s="28">
        <v>4296.5600000000004</v>
      </c>
    </row>
    <row r="526" spans="1:4" x14ac:dyDescent="0.25">
      <c r="A526" t="s">
        <v>378</v>
      </c>
      <c r="B526" t="s">
        <v>379</v>
      </c>
      <c r="C526" s="69">
        <v>43861</v>
      </c>
      <c r="D526" s="28">
        <v>8179.7560000000003</v>
      </c>
    </row>
    <row r="527" spans="1:4" x14ac:dyDescent="0.25">
      <c r="A527" t="s">
        <v>490</v>
      </c>
      <c r="B527" t="s">
        <v>454</v>
      </c>
      <c r="C527" s="69">
        <v>43861</v>
      </c>
      <c r="D527" s="28">
        <v>3493.9969999999998</v>
      </c>
    </row>
    <row r="528" spans="1:4" x14ac:dyDescent="0.25">
      <c r="A528" t="s">
        <v>710</v>
      </c>
      <c r="B528" t="s">
        <v>709</v>
      </c>
      <c r="C528" s="69">
        <v>43861</v>
      </c>
      <c r="D528" s="28">
        <v>3750</v>
      </c>
    </row>
    <row r="529" spans="1:4" x14ac:dyDescent="0.25">
      <c r="A529" t="s">
        <v>791</v>
      </c>
      <c r="B529" t="s">
        <v>803</v>
      </c>
      <c r="C529" s="69">
        <v>43861</v>
      </c>
      <c r="D529" s="28">
        <v>3573.31</v>
      </c>
    </row>
    <row r="530" spans="1:4" x14ac:dyDescent="0.25">
      <c r="A530" t="s">
        <v>279</v>
      </c>
      <c r="B530" t="s">
        <v>669</v>
      </c>
      <c r="C530" s="69">
        <v>43861</v>
      </c>
      <c r="D530" s="28">
        <v>2492.4299999999998</v>
      </c>
    </row>
    <row r="531" spans="1:4" x14ac:dyDescent="0.25">
      <c r="A531" t="s">
        <v>722</v>
      </c>
      <c r="B531" t="s">
        <v>440</v>
      </c>
      <c r="C531" s="69">
        <v>43861</v>
      </c>
      <c r="D531" s="28">
        <v>5264.2889999999998</v>
      </c>
    </row>
    <row r="532" spans="1:4" x14ac:dyDescent="0.25">
      <c r="A532" t="s">
        <v>592</v>
      </c>
      <c r="B532" t="s">
        <v>591</v>
      </c>
      <c r="C532" s="69">
        <v>43861</v>
      </c>
      <c r="D532" s="28">
        <v>2752.9270000000001</v>
      </c>
    </row>
    <row r="533" spans="1:4" x14ac:dyDescent="0.25">
      <c r="A533" t="s">
        <v>742</v>
      </c>
      <c r="B533" t="s">
        <v>741</v>
      </c>
      <c r="C533" s="69">
        <v>43861</v>
      </c>
      <c r="D533" s="28">
        <v>1940.9390000000001</v>
      </c>
    </row>
    <row r="534" spans="1:4" x14ac:dyDescent="0.25">
      <c r="A534" t="s">
        <v>418</v>
      </c>
      <c r="B534" t="s">
        <v>419</v>
      </c>
      <c r="C534" s="69">
        <v>43861</v>
      </c>
      <c r="D534" s="28">
        <v>6776.9660000000003</v>
      </c>
    </row>
    <row r="535" spans="1:4" x14ac:dyDescent="0.25">
      <c r="A535" t="s">
        <v>729</v>
      </c>
      <c r="B535" t="s">
        <v>384</v>
      </c>
      <c r="C535" s="69">
        <v>43861</v>
      </c>
      <c r="D535" s="28">
        <v>1207.3910000000001</v>
      </c>
    </row>
    <row r="536" spans="1:4" x14ac:dyDescent="0.25">
      <c r="A536" t="s">
        <v>477</v>
      </c>
      <c r="B536" t="s">
        <v>478</v>
      </c>
      <c r="C536" s="69">
        <v>43861</v>
      </c>
      <c r="D536" s="28">
        <v>3400</v>
      </c>
    </row>
    <row r="537" spans="1:4" x14ac:dyDescent="0.25">
      <c r="A537" t="s">
        <v>306</v>
      </c>
      <c r="B537" t="s">
        <v>307</v>
      </c>
      <c r="C537" s="69">
        <v>43861</v>
      </c>
      <c r="D537" s="28">
        <v>1726.701</v>
      </c>
    </row>
    <row r="538" spans="1:4" x14ac:dyDescent="0.25">
      <c r="A538" t="s">
        <v>813</v>
      </c>
      <c r="B538" t="s">
        <v>420</v>
      </c>
      <c r="C538" s="69">
        <v>43861</v>
      </c>
      <c r="D538" s="28">
        <v>1484.354</v>
      </c>
    </row>
    <row r="539" spans="1:4" x14ac:dyDescent="0.25">
      <c r="A539" t="s">
        <v>474</v>
      </c>
      <c r="B539" t="s">
        <v>475</v>
      </c>
      <c r="C539" s="69">
        <v>43861</v>
      </c>
      <c r="D539" s="28">
        <v>6558.0649999999996</v>
      </c>
    </row>
    <row r="540" spans="1:4" x14ac:dyDescent="0.25">
      <c r="A540" t="s">
        <v>310</v>
      </c>
      <c r="B540" t="s">
        <v>311</v>
      </c>
      <c r="C540" s="69">
        <v>43861</v>
      </c>
      <c r="D540" s="28">
        <v>1000</v>
      </c>
    </row>
    <row r="541" spans="1:4" x14ac:dyDescent="0.25">
      <c r="A541" t="s">
        <v>308</v>
      </c>
      <c r="B541" t="s">
        <v>309</v>
      </c>
      <c r="C541" s="69">
        <v>43861</v>
      </c>
      <c r="D541" s="28">
        <v>2100</v>
      </c>
    </row>
    <row r="542" spans="1:4" x14ac:dyDescent="0.25">
      <c r="A542" t="s">
        <v>575</v>
      </c>
      <c r="B542" t="s">
        <v>476</v>
      </c>
      <c r="C542" s="69">
        <v>43861</v>
      </c>
      <c r="D542" s="28">
        <v>1206.546</v>
      </c>
    </row>
    <row r="543" spans="1:4" x14ac:dyDescent="0.25">
      <c r="A543" t="s">
        <v>277</v>
      </c>
      <c r="B543" t="s">
        <v>278</v>
      </c>
      <c r="C543" s="69">
        <v>43861</v>
      </c>
      <c r="D543" s="28">
        <v>787.95100000000002</v>
      </c>
    </row>
    <row r="544" spans="1:4" x14ac:dyDescent="0.25">
      <c r="A544" t="s">
        <v>589</v>
      </c>
      <c r="B544" t="s">
        <v>588</v>
      </c>
      <c r="C544" s="69">
        <v>43861</v>
      </c>
      <c r="D544" s="28">
        <v>593.39099999999996</v>
      </c>
    </row>
    <row r="545" spans="1:5" x14ac:dyDescent="0.25">
      <c r="A545" t="s">
        <v>717</v>
      </c>
      <c r="B545" t="s">
        <v>716</v>
      </c>
      <c r="C545" s="69">
        <v>43861</v>
      </c>
      <c r="D545" s="28">
        <v>3231.6819999999998</v>
      </c>
    </row>
    <row r="546" spans="1:5" x14ac:dyDescent="0.25">
      <c r="A546" t="s">
        <v>1083</v>
      </c>
      <c r="B546" t="s">
        <v>1084</v>
      </c>
      <c r="C546" s="69">
        <v>43861</v>
      </c>
      <c r="D546" s="28">
        <v>802.12400000000002</v>
      </c>
    </row>
    <row r="547" spans="1:5" x14ac:dyDescent="0.25">
      <c r="A547" t="s">
        <v>719</v>
      </c>
      <c r="B547" t="s">
        <v>664</v>
      </c>
      <c r="C547" s="69">
        <v>43861</v>
      </c>
      <c r="D547" s="28">
        <v>6374.64</v>
      </c>
    </row>
    <row r="548" spans="1:5" x14ac:dyDescent="0.25">
      <c r="A548" t="s">
        <v>339</v>
      </c>
      <c r="B548" t="s">
        <v>340</v>
      </c>
      <c r="C548" s="69">
        <v>43861</v>
      </c>
      <c r="D548" s="28">
        <v>990</v>
      </c>
    </row>
    <row r="549" spans="1:5" s="730" customFormat="1" x14ac:dyDescent="0.25">
      <c r="A549" t="s">
        <v>830</v>
      </c>
      <c r="B549" t="s">
        <v>668</v>
      </c>
      <c r="C549" s="69">
        <v>43861</v>
      </c>
      <c r="D549" s="28">
        <v>1316.8</v>
      </c>
      <c r="E549"/>
    </row>
    <row r="550" spans="1:5" x14ac:dyDescent="0.25">
      <c r="A550" t="s">
        <v>391</v>
      </c>
      <c r="B550" t="s">
        <v>392</v>
      </c>
      <c r="C550" s="69">
        <v>43861</v>
      </c>
      <c r="D550" s="28">
        <v>12820.161</v>
      </c>
    </row>
    <row r="551" spans="1:5" x14ac:dyDescent="0.25">
      <c r="A551" t="s">
        <v>467</v>
      </c>
      <c r="B551" t="s">
        <v>468</v>
      </c>
      <c r="C551" s="69">
        <v>43861</v>
      </c>
      <c r="D551" s="28">
        <v>1673.3489999999999</v>
      </c>
    </row>
    <row r="552" spans="1:5" x14ac:dyDescent="0.25">
      <c r="A552" t="s">
        <v>859</v>
      </c>
      <c r="B552" t="s">
        <v>698</v>
      </c>
      <c r="C552" s="69">
        <v>43861</v>
      </c>
      <c r="D552" s="28">
        <v>7310.9160000000002</v>
      </c>
    </row>
    <row r="553" spans="1:5" x14ac:dyDescent="0.25">
      <c r="A553" t="s">
        <v>882</v>
      </c>
      <c r="B553" t="s">
        <v>672</v>
      </c>
      <c r="C553" s="69">
        <v>43861</v>
      </c>
      <c r="D553" s="28">
        <v>2600</v>
      </c>
    </row>
    <row r="554" spans="1:5" x14ac:dyDescent="0.25">
      <c r="A554" t="s">
        <v>600</v>
      </c>
      <c r="B554" t="s">
        <v>395</v>
      </c>
      <c r="C554" s="69">
        <v>43861</v>
      </c>
      <c r="D554" s="28">
        <v>1116.9690000000001</v>
      </c>
    </row>
    <row r="555" spans="1:5" x14ac:dyDescent="0.25">
      <c r="A555" t="s">
        <v>776</v>
      </c>
      <c r="B555" t="s">
        <v>327</v>
      </c>
      <c r="C555" s="69">
        <v>43861</v>
      </c>
      <c r="D555" s="28">
        <v>2000</v>
      </c>
    </row>
    <row r="556" spans="1:5" x14ac:dyDescent="0.25">
      <c r="A556" t="s">
        <v>973</v>
      </c>
      <c r="B556" t="s">
        <v>296</v>
      </c>
      <c r="C556" s="69">
        <v>43861</v>
      </c>
      <c r="D556" s="28">
        <v>3200</v>
      </c>
    </row>
    <row r="557" spans="1:5" x14ac:dyDescent="0.25">
      <c r="A557" t="s">
        <v>633</v>
      </c>
      <c r="B557" t="s">
        <v>431</v>
      </c>
      <c r="C557" s="69">
        <v>43861</v>
      </c>
      <c r="D557" s="28">
        <v>1000</v>
      </c>
    </row>
    <row r="558" spans="1:5" x14ac:dyDescent="0.25">
      <c r="A558" t="s">
        <v>1033</v>
      </c>
      <c r="B558" t="s">
        <v>359</v>
      </c>
      <c r="C558" s="69">
        <v>43861</v>
      </c>
      <c r="D558" s="28">
        <v>1143.721</v>
      </c>
    </row>
    <row r="559" spans="1:5" x14ac:dyDescent="0.25">
      <c r="A559" t="s">
        <v>980</v>
      </c>
      <c r="B559" t="s">
        <v>818</v>
      </c>
      <c r="C559" s="69">
        <v>43861</v>
      </c>
      <c r="D559" s="28">
        <v>444.76299999999998</v>
      </c>
    </row>
    <row r="560" spans="1:5" x14ac:dyDescent="0.25">
      <c r="A560" t="s">
        <v>1085</v>
      </c>
      <c r="B560" t="s">
        <v>1086</v>
      </c>
      <c r="C560" s="69">
        <v>43861</v>
      </c>
      <c r="D560" s="28">
        <v>602.09100000000001</v>
      </c>
    </row>
    <row r="561" spans="1:4" x14ac:dyDescent="0.25">
      <c r="A561" t="s">
        <v>802</v>
      </c>
      <c r="B561" t="s">
        <v>285</v>
      </c>
      <c r="C561" s="69">
        <v>43861</v>
      </c>
      <c r="D561" s="28">
        <v>1038.7829999999999</v>
      </c>
    </row>
    <row r="562" spans="1:4" x14ac:dyDescent="0.25">
      <c r="A562" t="s">
        <v>997</v>
      </c>
      <c r="B562" t="s">
        <v>463</v>
      </c>
      <c r="C562" s="69">
        <v>43861</v>
      </c>
      <c r="D562" s="28">
        <v>1152.001</v>
      </c>
    </row>
    <row r="563" spans="1:4" x14ac:dyDescent="0.25">
      <c r="A563" t="s">
        <v>1087</v>
      </c>
      <c r="B563" t="s">
        <v>1088</v>
      </c>
      <c r="C563" s="69">
        <v>43861</v>
      </c>
      <c r="D563" s="28">
        <v>3500</v>
      </c>
    </row>
    <row r="564" spans="1:4" x14ac:dyDescent="0.25">
      <c r="A564" t="s">
        <v>721</v>
      </c>
      <c r="B564" t="s">
        <v>462</v>
      </c>
      <c r="C564" s="69">
        <v>43861</v>
      </c>
      <c r="D564" s="28">
        <v>1172.5999999999999</v>
      </c>
    </row>
    <row r="565" spans="1:4" x14ac:dyDescent="0.25">
      <c r="A565" t="s">
        <v>901</v>
      </c>
      <c r="B565" t="s">
        <v>835</v>
      </c>
      <c r="C565" s="69">
        <v>43861</v>
      </c>
      <c r="D565" s="28">
        <v>439.65100000000001</v>
      </c>
    </row>
    <row r="566" spans="1:4" x14ac:dyDescent="0.25">
      <c r="A566" t="s">
        <v>1000</v>
      </c>
      <c r="B566" t="s">
        <v>470</v>
      </c>
      <c r="C566" s="69">
        <v>43861</v>
      </c>
      <c r="D566" s="28">
        <v>868.07399999999996</v>
      </c>
    </row>
    <row r="567" spans="1:4" x14ac:dyDescent="0.25">
      <c r="A567" t="s">
        <v>1049</v>
      </c>
      <c r="B567" t="s">
        <v>613</v>
      </c>
      <c r="C567" s="69">
        <v>43861</v>
      </c>
      <c r="D567" s="28">
        <v>1044.9059999999999</v>
      </c>
    </row>
    <row r="568" spans="1:4" x14ac:dyDescent="0.25">
      <c r="A568" t="s">
        <v>979</v>
      </c>
      <c r="B568" t="s">
        <v>953</v>
      </c>
      <c r="C568" s="69">
        <v>43861</v>
      </c>
      <c r="D568" s="28">
        <v>1141.5139999999999</v>
      </c>
    </row>
    <row r="569" spans="1:4" x14ac:dyDescent="0.25">
      <c r="A569" t="s">
        <v>593</v>
      </c>
      <c r="B569" t="s">
        <v>675</v>
      </c>
      <c r="C569" s="69">
        <v>43861</v>
      </c>
      <c r="D569" s="28">
        <v>189.959</v>
      </c>
    </row>
    <row r="570" spans="1:4" x14ac:dyDescent="0.25">
      <c r="A570" t="s">
        <v>880</v>
      </c>
      <c r="B570" t="s">
        <v>645</v>
      </c>
      <c r="C570" s="69">
        <v>43861</v>
      </c>
      <c r="D570" s="28">
        <v>1562.8789999999999</v>
      </c>
    </row>
    <row r="571" spans="1:4" x14ac:dyDescent="0.25">
      <c r="A571" t="s">
        <v>1142</v>
      </c>
      <c r="B571" t="s">
        <v>402</v>
      </c>
      <c r="C571" s="69">
        <v>43861</v>
      </c>
      <c r="D571" s="28">
        <v>7262.7659999999996</v>
      </c>
    </row>
    <row r="572" spans="1:4" x14ac:dyDescent="0.25">
      <c r="A572" t="s">
        <v>881</v>
      </c>
      <c r="B572" t="s">
        <v>781</v>
      </c>
      <c r="C572" s="69">
        <v>43861</v>
      </c>
      <c r="D572" s="28">
        <v>5421.058</v>
      </c>
    </row>
    <row r="573" spans="1:4" x14ac:dyDescent="0.25">
      <c r="A573" t="s">
        <v>1187</v>
      </c>
      <c r="B573" t="s">
        <v>836</v>
      </c>
      <c r="C573" s="69">
        <v>43861</v>
      </c>
      <c r="D573" s="28">
        <v>885.96</v>
      </c>
    </row>
    <row r="574" spans="1:4" x14ac:dyDescent="0.25">
      <c r="A574" t="s">
        <v>1055</v>
      </c>
      <c r="B574" t="s">
        <v>325</v>
      </c>
      <c r="C574" s="69">
        <v>43861</v>
      </c>
      <c r="D574" s="28">
        <v>3372.3980000000001</v>
      </c>
    </row>
    <row r="575" spans="1:4" x14ac:dyDescent="0.25">
      <c r="A575" t="s">
        <v>1188</v>
      </c>
      <c r="B575" t="s">
        <v>466</v>
      </c>
      <c r="C575" s="69">
        <v>43861</v>
      </c>
      <c r="D575" s="28">
        <v>4102.9260000000004</v>
      </c>
    </row>
    <row r="576" spans="1:4" x14ac:dyDescent="0.25">
      <c r="A576" t="s">
        <v>746</v>
      </c>
      <c r="B576" t="s">
        <v>469</v>
      </c>
      <c r="C576" s="69">
        <v>43861</v>
      </c>
      <c r="D576" s="28">
        <v>458.45299999999997</v>
      </c>
    </row>
    <row r="577" spans="1:4" x14ac:dyDescent="0.25">
      <c r="A577" t="s">
        <v>944</v>
      </c>
      <c r="B577" t="s">
        <v>399</v>
      </c>
      <c r="C577" s="69">
        <v>43861</v>
      </c>
      <c r="D577" s="28">
        <v>6698.3969999999999</v>
      </c>
    </row>
    <row r="578" spans="1:4" x14ac:dyDescent="0.25">
      <c r="A578" t="s">
        <v>1080</v>
      </c>
      <c r="B578" t="s">
        <v>699</v>
      </c>
      <c r="C578" s="69">
        <v>43861</v>
      </c>
      <c r="D578" s="28">
        <v>1203.5830000000001</v>
      </c>
    </row>
    <row r="579" spans="1:4" x14ac:dyDescent="0.25">
      <c r="A579" t="s">
        <v>505</v>
      </c>
      <c r="B579" t="s">
        <v>509</v>
      </c>
      <c r="C579" s="69">
        <v>43861</v>
      </c>
      <c r="D579" s="28">
        <v>1137.02</v>
      </c>
    </row>
    <row r="580" spans="1:4" x14ac:dyDescent="0.25">
      <c r="A580" t="s">
        <v>464</v>
      </c>
      <c r="B580" t="s">
        <v>465</v>
      </c>
      <c r="C580" s="69">
        <v>43861</v>
      </c>
      <c r="D580" s="28">
        <v>14745.253000000001</v>
      </c>
    </row>
    <row r="581" spans="1:4" x14ac:dyDescent="0.25">
      <c r="A581" t="s">
        <v>736</v>
      </c>
      <c r="B581" t="s">
        <v>394</v>
      </c>
      <c r="C581" s="69">
        <v>43861</v>
      </c>
      <c r="D581" s="28">
        <v>12005.154</v>
      </c>
    </row>
    <row r="582" spans="1:4" x14ac:dyDescent="0.25">
      <c r="A582" t="s">
        <v>1050</v>
      </c>
      <c r="B582" t="s">
        <v>393</v>
      </c>
      <c r="C582" s="69">
        <v>43861</v>
      </c>
      <c r="D582" s="28">
        <v>1032.7470000000001</v>
      </c>
    </row>
    <row r="583" spans="1:4" x14ac:dyDescent="0.25">
      <c r="A583" t="s">
        <v>1053</v>
      </c>
      <c r="B583" t="s">
        <v>396</v>
      </c>
      <c r="C583" s="69">
        <v>43861</v>
      </c>
      <c r="D583" s="28">
        <v>751.18100000000004</v>
      </c>
    </row>
    <row r="584" spans="1:4" x14ac:dyDescent="0.25">
      <c r="A584" t="s">
        <v>1186</v>
      </c>
      <c r="B584" t="s">
        <v>798</v>
      </c>
      <c r="C584" s="69">
        <v>43861</v>
      </c>
      <c r="D584" s="28">
        <v>727.69</v>
      </c>
    </row>
    <row r="585" spans="1:4" x14ac:dyDescent="0.25">
      <c r="A585" t="s">
        <v>942</v>
      </c>
      <c r="B585" t="s">
        <v>314</v>
      </c>
      <c r="C585" s="69">
        <v>43861</v>
      </c>
      <c r="D585" s="28">
        <v>348.66800000000001</v>
      </c>
    </row>
    <row r="586" spans="1:4" x14ac:dyDescent="0.25">
      <c r="A586" t="s">
        <v>893</v>
      </c>
      <c r="B586" t="s">
        <v>353</v>
      </c>
      <c r="C586" s="69">
        <v>43861</v>
      </c>
      <c r="D586" s="28">
        <v>1350.8</v>
      </c>
    </row>
    <row r="587" spans="1:4" x14ac:dyDescent="0.25">
      <c r="A587" t="s">
        <v>1181</v>
      </c>
      <c r="B587" t="s">
        <v>1180</v>
      </c>
      <c r="C587" s="69">
        <v>43861</v>
      </c>
      <c r="D587" s="28">
        <v>1232.357</v>
      </c>
    </row>
    <row r="588" spans="1:4" x14ac:dyDescent="0.25">
      <c r="A588" t="s">
        <v>932</v>
      </c>
      <c r="B588" t="s">
        <v>472</v>
      </c>
      <c r="C588" s="69">
        <v>43861</v>
      </c>
      <c r="D588" s="28">
        <v>1697.489</v>
      </c>
    </row>
    <row r="589" spans="1:4" x14ac:dyDescent="0.25">
      <c r="A589" t="s">
        <v>1183</v>
      </c>
      <c r="B589" t="s">
        <v>1182</v>
      </c>
      <c r="C589" s="69">
        <v>43861</v>
      </c>
      <c r="D589" s="28">
        <v>1086.4349999999999</v>
      </c>
    </row>
    <row r="590" spans="1:4" x14ac:dyDescent="0.25">
      <c r="A590" t="s">
        <v>894</v>
      </c>
      <c r="B590" t="s">
        <v>455</v>
      </c>
      <c r="C590" s="69">
        <v>43861</v>
      </c>
      <c r="D590" s="28">
        <v>1185.8989999999999</v>
      </c>
    </row>
    <row r="591" spans="1:4" x14ac:dyDescent="0.25">
      <c r="A591" t="s">
        <v>978</v>
      </c>
      <c r="B591" t="s">
        <v>401</v>
      </c>
      <c r="C591" s="69">
        <v>43861</v>
      </c>
      <c r="D591" s="28">
        <v>1000</v>
      </c>
    </row>
    <row r="592" spans="1:4" x14ac:dyDescent="0.25">
      <c r="A592" t="s">
        <v>974</v>
      </c>
      <c r="B592" t="s">
        <v>555</v>
      </c>
      <c r="C592" s="69">
        <v>43861</v>
      </c>
      <c r="D592" s="28">
        <v>1122.8330000000001</v>
      </c>
    </row>
    <row r="593" spans="1:4" x14ac:dyDescent="0.25">
      <c r="A593" t="s">
        <v>1248</v>
      </c>
      <c r="B593" t="s">
        <v>1247</v>
      </c>
      <c r="C593" s="69">
        <v>43861</v>
      </c>
      <c r="D593" s="28">
        <v>13308.582</v>
      </c>
    </row>
    <row r="594" spans="1:4" x14ac:dyDescent="0.25">
      <c r="A594" t="s">
        <v>718</v>
      </c>
      <c r="B594" t="s">
        <v>372</v>
      </c>
      <c r="C594" s="69">
        <v>43861</v>
      </c>
      <c r="D594" s="28">
        <v>2002.7159999999999</v>
      </c>
    </row>
    <row r="595" spans="1:4" x14ac:dyDescent="0.25">
      <c r="A595" t="s">
        <v>1356</v>
      </c>
      <c r="B595" t="s">
        <v>1355</v>
      </c>
      <c r="C595" s="69">
        <v>43861</v>
      </c>
      <c r="D595" s="28">
        <v>7023.7129999999997</v>
      </c>
    </row>
    <row r="596" spans="1:4" x14ac:dyDescent="0.25">
      <c r="A596" t="s">
        <v>1353</v>
      </c>
      <c r="B596" t="s">
        <v>613</v>
      </c>
      <c r="C596" s="69">
        <v>43861</v>
      </c>
      <c r="D596" s="28">
        <v>972.28300000000002</v>
      </c>
    </row>
    <row r="597" spans="1:4" x14ac:dyDescent="0.25">
      <c r="A597" t="s">
        <v>880</v>
      </c>
      <c r="B597" t="s">
        <v>645</v>
      </c>
      <c r="C597" s="69">
        <v>43861</v>
      </c>
      <c r="D597" s="28">
        <v>1500</v>
      </c>
    </row>
    <row r="598" spans="1:4" x14ac:dyDescent="0.25">
      <c r="A598" t="s">
        <v>1354</v>
      </c>
      <c r="B598" t="s">
        <v>1249</v>
      </c>
      <c r="C598" s="69">
        <v>43861</v>
      </c>
      <c r="D598" s="28">
        <v>1896.3979999999999</v>
      </c>
    </row>
    <row r="599" spans="1:4" x14ac:dyDescent="0.25">
      <c r="A599" t="s">
        <v>1208</v>
      </c>
      <c r="B599" t="s">
        <v>602</v>
      </c>
      <c r="C599" s="69">
        <v>43861</v>
      </c>
      <c r="D599" s="28">
        <v>600.43200000000002</v>
      </c>
    </row>
    <row r="600" spans="1:4" x14ac:dyDescent="0.25">
      <c r="A600" t="s">
        <v>1145</v>
      </c>
      <c r="B600" t="s">
        <v>1061</v>
      </c>
      <c r="C600" s="69">
        <v>43861</v>
      </c>
      <c r="D600" s="28">
        <v>438.10399999999998</v>
      </c>
    </row>
    <row r="601" spans="1:4" x14ac:dyDescent="0.25">
      <c r="A601" t="s">
        <v>1191</v>
      </c>
      <c r="B601" t="s">
        <v>759</v>
      </c>
      <c r="C601" s="69">
        <v>43861</v>
      </c>
      <c r="D601" s="28">
        <v>468.73399999999998</v>
      </c>
    </row>
    <row r="602" spans="1:4" x14ac:dyDescent="0.25">
      <c r="A602" t="s">
        <v>408</v>
      </c>
      <c r="B602" t="s">
        <v>409</v>
      </c>
      <c r="C602" s="69">
        <v>43861</v>
      </c>
      <c r="D602" s="28">
        <v>1279.999</v>
      </c>
    </row>
    <row r="603" spans="1:4" x14ac:dyDescent="0.25">
      <c r="A603" t="s">
        <v>425</v>
      </c>
      <c r="B603" t="s">
        <v>426</v>
      </c>
      <c r="C603" s="69">
        <v>43861</v>
      </c>
      <c r="D603" s="28">
        <v>3090.26</v>
      </c>
    </row>
    <row r="604" spans="1:4" x14ac:dyDescent="0.25">
      <c r="A604" t="s">
        <v>297</v>
      </c>
      <c r="B604" t="s">
        <v>298</v>
      </c>
      <c r="C604" s="69">
        <v>43861</v>
      </c>
      <c r="D604" s="28">
        <v>2526.0100000000002</v>
      </c>
    </row>
    <row r="605" spans="1:4" x14ac:dyDescent="0.25">
      <c r="A605" t="s">
        <v>342</v>
      </c>
      <c r="B605" t="s">
        <v>343</v>
      </c>
      <c r="C605" s="69">
        <v>43861</v>
      </c>
      <c r="D605" s="28">
        <v>2724.7779999999998</v>
      </c>
    </row>
    <row r="606" spans="1:4" x14ac:dyDescent="0.25">
      <c r="A606" t="s">
        <v>450</v>
      </c>
      <c r="B606" t="s">
        <v>451</v>
      </c>
      <c r="C606" s="69">
        <v>43861</v>
      </c>
      <c r="D606" s="28">
        <v>4000</v>
      </c>
    </row>
    <row r="607" spans="1:4" x14ac:dyDescent="0.25">
      <c r="A607" t="s">
        <v>336</v>
      </c>
      <c r="B607" t="s">
        <v>337</v>
      </c>
      <c r="C607" s="69">
        <v>43861</v>
      </c>
      <c r="D607" s="28">
        <v>3113.2669999999998</v>
      </c>
    </row>
    <row r="608" spans="1:4" x14ac:dyDescent="0.25">
      <c r="A608" t="s">
        <v>1027</v>
      </c>
      <c r="B608" t="s">
        <v>1026</v>
      </c>
      <c r="C608" s="69">
        <v>43861</v>
      </c>
      <c r="D608" s="28">
        <v>4899.0649999999996</v>
      </c>
    </row>
    <row r="609" spans="1:4" x14ac:dyDescent="0.25">
      <c r="A609" t="s">
        <v>347</v>
      </c>
      <c r="B609" t="s">
        <v>348</v>
      </c>
      <c r="C609" s="69">
        <v>43861</v>
      </c>
      <c r="D609" s="28">
        <v>3839.35</v>
      </c>
    </row>
    <row r="610" spans="1:4" x14ac:dyDescent="0.25">
      <c r="A610" t="s">
        <v>406</v>
      </c>
      <c r="B610" t="s">
        <v>407</v>
      </c>
      <c r="C610" s="69">
        <v>43861</v>
      </c>
      <c r="D610" s="28">
        <v>1149.21</v>
      </c>
    </row>
    <row r="611" spans="1:4" x14ac:dyDescent="0.25">
      <c r="A611" t="s">
        <v>406</v>
      </c>
      <c r="B611" t="s">
        <v>407</v>
      </c>
      <c r="C611" s="69">
        <v>43861</v>
      </c>
      <c r="D611" s="28">
        <v>7425.6949999999997</v>
      </c>
    </row>
    <row r="612" spans="1:4" x14ac:dyDescent="0.25">
      <c r="A612" t="s">
        <v>330</v>
      </c>
      <c r="B612" t="s">
        <v>331</v>
      </c>
      <c r="C612" s="69">
        <v>43861</v>
      </c>
      <c r="D612" s="28">
        <v>2200</v>
      </c>
    </row>
    <row r="613" spans="1:4" x14ac:dyDescent="0.25">
      <c r="A613" t="s">
        <v>413</v>
      </c>
      <c r="B613" t="s">
        <v>414</v>
      </c>
      <c r="C613" s="69">
        <v>43861</v>
      </c>
      <c r="D613" s="28">
        <v>4000</v>
      </c>
    </row>
    <row r="614" spans="1:4" x14ac:dyDescent="0.25">
      <c r="A614" t="s">
        <v>1031</v>
      </c>
      <c r="B614" t="s">
        <v>1026</v>
      </c>
      <c r="C614" s="69">
        <v>43861</v>
      </c>
      <c r="D614" s="28">
        <v>4805.4979999999996</v>
      </c>
    </row>
    <row r="615" spans="1:4" x14ac:dyDescent="0.25">
      <c r="A615" t="s">
        <v>349</v>
      </c>
      <c r="B615" t="s">
        <v>350</v>
      </c>
      <c r="C615" s="69">
        <v>43861</v>
      </c>
      <c r="D615" s="28">
        <v>1500</v>
      </c>
    </row>
    <row r="616" spans="1:4" x14ac:dyDescent="0.25">
      <c r="A616" t="s">
        <v>599</v>
      </c>
      <c r="B616" t="s">
        <v>598</v>
      </c>
      <c r="C616" s="69">
        <v>43861</v>
      </c>
      <c r="D616" s="28">
        <v>1500</v>
      </c>
    </row>
    <row r="617" spans="1:4" x14ac:dyDescent="0.25">
      <c r="A617" t="s">
        <v>328</v>
      </c>
      <c r="B617" t="s">
        <v>329</v>
      </c>
      <c r="C617" s="69">
        <v>43861</v>
      </c>
      <c r="D617" s="28">
        <v>900</v>
      </c>
    </row>
    <row r="618" spans="1:4" x14ac:dyDescent="0.25">
      <c r="A618" t="s">
        <v>1190</v>
      </c>
      <c r="B618" t="s">
        <v>1189</v>
      </c>
      <c r="C618" s="69">
        <v>43861</v>
      </c>
      <c r="D618" s="28">
        <v>1670.9059999999999</v>
      </c>
    </row>
    <row r="619" spans="1:4" x14ac:dyDescent="0.25">
      <c r="A619" t="s">
        <v>373</v>
      </c>
      <c r="B619" t="s">
        <v>374</v>
      </c>
      <c r="C619" s="69">
        <v>43861</v>
      </c>
      <c r="D619" s="28">
        <v>1752.75</v>
      </c>
    </row>
    <row r="620" spans="1:4" x14ac:dyDescent="0.25">
      <c r="A620" t="s">
        <v>410</v>
      </c>
      <c r="B620" t="s">
        <v>411</v>
      </c>
      <c r="C620" s="69">
        <v>43861</v>
      </c>
      <c r="D620" s="28">
        <v>583.37300000000005</v>
      </c>
    </row>
    <row r="621" spans="1:4" x14ac:dyDescent="0.25">
      <c r="A621" t="s">
        <v>415</v>
      </c>
      <c r="B621" t="s">
        <v>679</v>
      </c>
      <c r="C621" s="69">
        <v>43861</v>
      </c>
      <c r="D621" s="28">
        <v>9698.99</v>
      </c>
    </row>
    <row r="622" spans="1:4" x14ac:dyDescent="0.25">
      <c r="A622" t="s">
        <v>659</v>
      </c>
      <c r="B622" t="s">
        <v>658</v>
      </c>
      <c r="C622" s="69">
        <v>43861</v>
      </c>
      <c r="D622" s="28">
        <v>3619.165</v>
      </c>
    </row>
    <row r="623" spans="1:4" x14ac:dyDescent="0.25">
      <c r="A623" t="s">
        <v>548</v>
      </c>
      <c r="B623" t="s">
        <v>547</v>
      </c>
      <c r="C623" s="69">
        <v>43861</v>
      </c>
      <c r="D623" s="28">
        <v>1000</v>
      </c>
    </row>
    <row r="624" spans="1:4" x14ac:dyDescent="0.25">
      <c r="A624" t="s">
        <v>758</v>
      </c>
      <c r="B624" t="s">
        <v>757</v>
      </c>
      <c r="C624" s="69">
        <v>43861</v>
      </c>
      <c r="D624" s="28">
        <v>800</v>
      </c>
    </row>
    <row r="625" spans="1:4" x14ac:dyDescent="0.25">
      <c r="A625" t="s">
        <v>795</v>
      </c>
      <c r="B625" t="s">
        <v>805</v>
      </c>
      <c r="C625" s="69">
        <v>43861</v>
      </c>
      <c r="D625" s="28">
        <v>1900</v>
      </c>
    </row>
    <row r="626" spans="1:4" x14ac:dyDescent="0.25">
      <c r="A626" t="s">
        <v>345</v>
      </c>
      <c r="B626" t="s">
        <v>346</v>
      </c>
      <c r="C626" s="69">
        <v>43861</v>
      </c>
      <c r="D626" s="28">
        <v>1417.855</v>
      </c>
    </row>
    <row r="627" spans="1:4" x14ac:dyDescent="0.25">
      <c r="A627" t="s">
        <v>780</v>
      </c>
      <c r="B627" t="s">
        <v>779</v>
      </c>
      <c r="C627" s="69">
        <v>43861</v>
      </c>
      <c r="D627" s="28">
        <v>4787.6490000000003</v>
      </c>
    </row>
    <row r="628" spans="1:4" x14ac:dyDescent="0.25">
      <c r="A628" t="s">
        <v>984</v>
      </c>
      <c r="B628" t="s">
        <v>983</v>
      </c>
      <c r="C628" s="69">
        <v>43861</v>
      </c>
      <c r="D628" s="28">
        <v>1117.3330000000001</v>
      </c>
    </row>
    <row r="629" spans="1:4" x14ac:dyDescent="0.25">
      <c r="A629" t="s">
        <v>567</v>
      </c>
      <c r="B629" t="s">
        <v>322</v>
      </c>
      <c r="C629" s="69">
        <v>43861</v>
      </c>
      <c r="D629" s="28">
        <v>7472.6790000000001</v>
      </c>
    </row>
    <row r="630" spans="1:4" x14ac:dyDescent="0.25">
      <c r="A630" t="s">
        <v>625</v>
      </c>
      <c r="B630" t="s">
        <v>674</v>
      </c>
      <c r="C630" s="69">
        <v>43861</v>
      </c>
      <c r="D630" s="28">
        <v>3000</v>
      </c>
    </row>
    <row r="631" spans="1:4" x14ac:dyDescent="0.25">
      <c r="A631" t="s">
        <v>1185</v>
      </c>
      <c r="B631" t="s">
        <v>1184</v>
      </c>
      <c r="C631" s="69">
        <v>43861</v>
      </c>
      <c r="D631" s="28">
        <v>1046.491</v>
      </c>
    </row>
    <row r="632" spans="1:4" ht="15.75" thickBot="1" x14ac:dyDescent="0.3">
      <c r="A632" t="s">
        <v>1287</v>
      </c>
      <c r="B632" t="s">
        <v>1286</v>
      </c>
      <c r="C632" s="69">
        <v>43861</v>
      </c>
      <c r="D632" s="28">
        <v>10000</v>
      </c>
    </row>
    <row r="633" spans="1:4" ht="15.75" thickBot="1" x14ac:dyDescent="0.3">
      <c r="A633" s="1002" t="s">
        <v>838</v>
      </c>
      <c r="B633" s="1003"/>
      <c r="C633" s="1003"/>
      <c r="D633" s="732">
        <f>SUM(D106:D632)</f>
        <v>1351762.5510000007</v>
      </c>
    </row>
    <row r="634" spans="1:4" x14ac:dyDescent="0.25">
      <c r="A634" t="s">
        <v>380</v>
      </c>
      <c r="B634" t="s">
        <v>673</v>
      </c>
      <c r="C634" s="69">
        <v>43862</v>
      </c>
      <c r="D634" s="28">
        <v>8001.951</v>
      </c>
    </row>
    <row r="635" spans="1:4" x14ac:dyDescent="0.25">
      <c r="A635" t="s">
        <v>271</v>
      </c>
      <c r="B635" t="s">
        <v>272</v>
      </c>
      <c r="C635" s="69">
        <v>43862</v>
      </c>
      <c r="D635" s="28">
        <v>3000</v>
      </c>
    </row>
    <row r="636" spans="1:4" x14ac:dyDescent="0.25">
      <c r="A636" t="s">
        <v>939</v>
      </c>
      <c r="B636" t="s">
        <v>769</v>
      </c>
      <c r="C636" s="69">
        <v>43862</v>
      </c>
      <c r="D636" s="28">
        <v>1147.921</v>
      </c>
    </row>
    <row r="637" spans="1:4" x14ac:dyDescent="0.25">
      <c r="A637" t="s">
        <v>964</v>
      </c>
      <c r="B637" t="s">
        <v>432</v>
      </c>
      <c r="C637" s="69">
        <v>43863</v>
      </c>
      <c r="D637" s="28">
        <v>1750</v>
      </c>
    </row>
    <row r="638" spans="1:4" x14ac:dyDescent="0.25">
      <c r="A638" t="s">
        <v>1037</v>
      </c>
      <c r="B638" t="s">
        <v>471</v>
      </c>
      <c r="C638" s="69">
        <v>43863</v>
      </c>
      <c r="D638" s="28">
        <v>2500</v>
      </c>
    </row>
    <row r="639" spans="1:4" x14ac:dyDescent="0.25">
      <c r="A639" t="s">
        <v>357</v>
      </c>
      <c r="B639" t="s">
        <v>358</v>
      </c>
      <c r="C639" s="69">
        <v>43863</v>
      </c>
      <c r="D639" s="28">
        <v>2443.0880000000002</v>
      </c>
    </row>
    <row r="640" spans="1:4" x14ac:dyDescent="0.25">
      <c r="A640" t="s">
        <v>319</v>
      </c>
      <c r="B640" t="s">
        <v>320</v>
      </c>
      <c r="C640" s="69">
        <v>43863</v>
      </c>
      <c r="D640" s="28">
        <v>3515.3440000000001</v>
      </c>
    </row>
    <row r="641" spans="1:4" x14ac:dyDescent="0.25">
      <c r="A641" t="s">
        <v>282</v>
      </c>
      <c r="B641" t="s">
        <v>283</v>
      </c>
      <c r="C641" s="69">
        <v>43864</v>
      </c>
      <c r="D641" s="28">
        <v>1500</v>
      </c>
    </row>
    <row r="642" spans="1:4" x14ac:dyDescent="0.25">
      <c r="A642" t="s">
        <v>274</v>
      </c>
      <c r="B642" t="s">
        <v>665</v>
      </c>
      <c r="C642" s="69">
        <v>43864</v>
      </c>
      <c r="D642" s="28">
        <v>3000</v>
      </c>
    </row>
    <row r="643" spans="1:4" x14ac:dyDescent="0.25">
      <c r="A643" t="s">
        <v>444</v>
      </c>
      <c r="B643" t="s">
        <v>316</v>
      </c>
      <c r="C643" s="69">
        <v>43864</v>
      </c>
      <c r="D643" s="28">
        <v>1361.6289999999999</v>
      </c>
    </row>
    <row r="644" spans="1:4" x14ac:dyDescent="0.25">
      <c r="A644" t="s">
        <v>943</v>
      </c>
      <c r="B644" t="s">
        <v>542</v>
      </c>
      <c r="C644" s="69">
        <v>43864</v>
      </c>
      <c r="D644" s="28">
        <v>1328.845</v>
      </c>
    </row>
    <row r="645" spans="1:4" x14ac:dyDescent="0.25">
      <c r="A645" t="s">
        <v>336</v>
      </c>
      <c r="B645" t="s">
        <v>337</v>
      </c>
      <c r="C645" s="69">
        <v>43864</v>
      </c>
      <c r="D645" s="28">
        <v>3500</v>
      </c>
    </row>
    <row r="646" spans="1:4" x14ac:dyDescent="0.25">
      <c r="A646" t="s">
        <v>566</v>
      </c>
      <c r="B646" t="s">
        <v>565</v>
      </c>
      <c r="C646" s="69">
        <v>43864</v>
      </c>
      <c r="D646" s="28">
        <v>5000</v>
      </c>
    </row>
    <row r="647" spans="1:4" x14ac:dyDescent="0.25">
      <c r="A647" t="s">
        <v>758</v>
      </c>
      <c r="B647" t="s">
        <v>757</v>
      </c>
      <c r="C647" s="69">
        <v>43864</v>
      </c>
      <c r="D647" s="28">
        <v>625</v>
      </c>
    </row>
    <row r="648" spans="1:4" x14ac:dyDescent="0.25">
      <c r="A648" t="s">
        <v>758</v>
      </c>
      <c r="B648" t="s">
        <v>757</v>
      </c>
      <c r="C648" s="69">
        <v>43864</v>
      </c>
      <c r="D648" s="28">
        <v>800</v>
      </c>
    </row>
    <row r="649" spans="1:4" x14ac:dyDescent="0.25">
      <c r="A649" t="s">
        <v>713</v>
      </c>
      <c r="B649" t="s">
        <v>712</v>
      </c>
      <c r="C649" s="69">
        <v>43864</v>
      </c>
      <c r="D649" s="28">
        <v>3000</v>
      </c>
    </row>
    <row r="650" spans="1:4" x14ac:dyDescent="0.25">
      <c r="A650" t="s">
        <v>428</v>
      </c>
      <c r="B650" t="s">
        <v>429</v>
      </c>
      <c r="C650" s="69">
        <v>43864</v>
      </c>
      <c r="D650" s="28">
        <v>410.35399999999998</v>
      </c>
    </row>
    <row r="651" spans="1:4" x14ac:dyDescent="0.25">
      <c r="A651" t="s">
        <v>905</v>
      </c>
      <c r="B651" t="s">
        <v>938</v>
      </c>
      <c r="C651" s="69">
        <v>43865</v>
      </c>
      <c r="D651" s="28">
        <v>1000</v>
      </c>
    </row>
    <row r="652" spans="1:4" x14ac:dyDescent="0.25">
      <c r="A652" t="s">
        <v>601</v>
      </c>
      <c r="B652" t="s">
        <v>273</v>
      </c>
      <c r="C652" s="69">
        <v>43865</v>
      </c>
      <c r="D652" s="28">
        <v>445.452</v>
      </c>
    </row>
    <row r="653" spans="1:4" x14ac:dyDescent="0.25">
      <c r="A653" t="s">
        <v>500</v>
      </c>
      <c r="B653" t="s">
        <v>501</v>
      </c>
      <c r="C653" s="69">
        <v>43865</v>
      </c>
      <c r="D653" s="28">
        <v>1043.9649999999999</v>
      </c>
    </row>
    <row r="654" spans="1:4" x14ac:dyDescent="0.25">
      <c r="A654" t="s">
        <v>848</v>
      </c>
      <c r="B654" t="s">
        <v>847</v>
      </c>
      <c r="C654" s="69">
        <v>43865</v>
      </c>
      <c r="D654" s="28">
        <v>4300</v>
      </c>
    </row>
    <row r="655" spans="1:4" x14ac:dyDescent="0.25">
      <c r="A655" t="s">
        <v>830</v>
      </c>
      <c r="B655" t="s">
        <v>668</v>
      </c>
      <c r="C655" s="69">
        <v>43865</v>
      </c>
      <c r="D655" s="28">
        <v>1317.4</v>
      </c>
    </row>
    <row r="656" spans="1:4" x14ac:dyDescent="0.25">
      <c r="A656" t="s">
        <v>1087</v>
      </c>
      <c r="B656" t="s">
        <v>1088</v>
      </c>
      <c r="C656" s="69">
        <v>43865</v>
      </c>
      <c r="D656" s="28">
        <v>3219.741</v>
      </c>
    </row>
    <row r="657" spans="1:4" x14ac:dyDescent="0.25">
      <c r="A657" t="s">
        <v>1179</v>
      </c>
      <c r="B657" t="s">
        <v>1051</v>
      </c>
      <c r="C657" s="69">
        <v>43865</v>
      </c>
      <c r="D657" s="28">
        <v>668.16</v>
      </c>
    </row>
    <row r="658" spans="1:4" x14ac:dyDescent="0.25">
      <c r="A658" t="s">
        <v>303</v>
      </c>
      <c r="B658" t="s">
        <v>670</v>
      </c>
      <c r="C658" s="69">
        <v>43865</v>
      </c>
      <c r="D658" s="28">
        <v>1650</v>
      </c>
    </row>
    <row r="659" spans="1:4" x14ac:dyDescent="0.25">
      <c r="A659" t="s">
        <v>282</v>
      </c>
      <c r="B659" t="s">
        <v>283</v>
      </c>
      <c r="C659" s="69">
        <v>43866</v>
      </c>
      <c r="D659" s="28">
        <v>1500</v>
      </c>
    </row>
    <row r="660" spans="1:4" x14ac:dyDescent="0.25">
      <c r="A660" t="s">
        <v>312</v>
      </c>
      <c r="B660" t="s">
        <v>313</v>
      </c>
      <c r="C660" s="69">
        <v>43866</v>
      </c>
      <c r="D660" s="28">
        <v>1075</v>
      </c>
    </row>
    <row r="661" spans="1:4" x14ac:dyDescent="0.25">
      <c r="A661" t="s">
        <v>617</v>
      </c>
      <c r="B661" t="s">
        <v>620</v>
      </c>
      <c r="C661" s="69">
        <v>43866</v>
      </c>
      <c r="D661" s="28">
        <v>1000</v>
      </c>
    </row>
    <row r="662" spans="1:4" x14ac:dyDescent="0.25">
      <c r="A662" t="s">
        <v>1441</v>
      </c>
      <c r="B662" t="s">
        <v>1440</v>
      </c>
      <c r="C662" s="69">
        <v>43866</v>
      </c>
      <c r="D662" s="28">
        <v>1775.0219999999999</v>
      </c>
    </row>
    <row r="663" spans="1:4" x14ac:dyDescent="0.25">
      <c r="A663" t="s">
        <v>926</v>
      </c>
      <c r="B663" t="s">
        <v>619</v>
      </c>
      <c r="C663" s="69">
        <v>43866</v>
      </c>
      <c r="D663" s="28">
        <v>5000</v>
      </c>
    </row>
    <row r="664" spans="1:4" x14ac:dyDescent="0.25">
      <c r="A664" t="s">
        <v>363</v>
      </c>
      <c r="B664" t="s">
        <v>364</v>
      </c>
      <c r="C664" s="69">
        <v>43866</v>
      </c>
      <c r="D664" s="28">
        <v>2435.873</v>
      </c>
    </row>
    <row r="665" spans="1:4" x14ac:dyDescent="0.25">
      <c r="A665" t="s">
        <v>833</v>
      </c>
      <c r="B665" t="s">
        <v>662</v>
      </c>
      <c r="C665" s="69">
        <v>43866</v>
      </c>
      <c r="D665" s="28">
        <v>7623.7950000000001</v>
      </c>
    </row>
    <row r="666" spans="1:4" x14ac:dyDescent="0.25">
      <c r="A666" t="s">
        <v>964</v>
      </c>
      <c r="B666" t="s">
        <v>432</v>
      </c>
      <c r="C666" s="69">
        <v>43866</v>
      </c>
      <c r="D666" s="28">
        <v>1801.896</v>
      </c>
    </row>
    <row r="667" spans="1:4" x14ac:dyDescent="0.25">
      <c r="A667" t="s">
        <v>770</v>
      </c>
      <c r="B667" t="s">
        <v>433</v>
      </c>
      <c r="C667" s="69">
        <v>43866</v>
      </c>
      <c r="D667" s="28">
        <v>6231.8739999999998</v>
      </c>
    </row>
    <row r="668" spans="1:4" x14ac:dyDescent="0.25">
      <c r="A668" t="s">
        <v>845</v>
      </c>
      <c r="B668" t="s">
        <v>760</v>
      </c>
      <c r="C668" s="69">
        <v>43866</v>
      </c>
      <c r="D668" s="28">
        <v>2027.587</v>
      </c>
    </row>
    <row r="669" spans="1:4" x14ac:dyDescent="0.25">
      <c r="A669" t="s">
        <v>842</v>
      </c>
      <c r="B669" t="s">
        <v>755</v>
      </c>
      <c r="C669" s="69">
        <v>43866</v>
      </c>
      <c r="D669" s="28">
        <v>2665.2640000000001</v>
      </c>
    </row>
    <row r="670" spans="1:4" x14ac:dyDescent="0.25">
      <c r="A670" t="s">
        <v>941</v>
      </c>
      <c r="B670" t="s">
        <v>940</v>
      </c>
      <c r="C670" s="69">
        <v>43866</v>
      </c>
      <c r="D670" s="28">
        <v>1278.7719999999999</v>
      </c>
    </row>
    <row r="671" spans="1:4" x14ac:dyDescent="0.25">
      <c r="A671" t="s">
        <v>902</v>
      </c>
      <c r="B671" t="s">
        <v>479</v>
      </c>
      <c r="C671" s="69">
        <v>43866</v>
      </c>
      <c r="D671" s="28">
        <v>785.80399999999997</v>
      </c>
    </row>
    <row r="672" spans="1:4" x14ac:dyDescent="0.25">
      <c r="A672" t="s">
        <v>1141</v>
      </c>
      <c r="B672" t="s">
        <v>427</v>
      </c>
      <c r="C672" s="69">
        <v>43866</v>
      </c>
      <c r="D672" s="28">
        <v>2742.2890000000002</v>
      </c>
    </row>
    <row r="673" spans="1:4" x14ac:dyDescent="0.25">
      <c r="A673" t="s">
        <v>783</v>
      </c>
      <c r="B673" t="s">
        <v>782</v>
      </c>
      <c r="C673" s="69">
        <v>43866</v>
      </c>
      <c r="D673" s="28">
        <v>301.01600000000002</v>
      </c>
    </row>
    <row r="674" spans="1:4" x14ac:dyDescent="0.25">
      <c r="A674" t="s">
        <v>975</v>
      </c>
      <c r="B674" t="s">
        <v>677</v>
      </c>
      <c r="C674" s="69">
        <v>43866</v>
      </c>
      <c r="D674" s="28">
        <v>552.92700000000002</v>
      </c>
    </row>
    <row r="675" spans="1:4" x14ac:dyDescent="0.25">
      <c r="A675" t="s">
        <v>893</v>
      </c>
      <c r="B675" t="s">
        <v>353</v>
      </c>
      <c r="C675" s="69">
        <v>43866</v>
      </c>
      <c r="D675" s="28">
        <v>1360.7</v>
      </c>
    </row>
    <row r="676" spans="1:4" x14ac:dyDescent="0.25">
      <c r="A676" t="s">
        <v>937</v>
      </c>
      <c r="B676" t="s">
        <v>936</v>
      </c>
      <c r="C676" s="69">
        <v>43866</v>
      </c>
      <c r="D676" s="28">
        <v>2596.2469999999998</v>
      </c>
    </row>
    <row r="677" spans="1:4" x14ac:dyDescent="0.25">
      <c r="A677" t="s">
        <v>1291</v>
      </c>
      <c r="B677" t="s">
        <v>1162</v>
      </c>
      <c r="C677" s="69">
        <v>43866</v>
      </c>
      <c r="D677" s="28">
        <v>2374.2820000000002</v>
      </c>
    </row>
    <row r="678" spans="1:4" x14ac:dyDescent="0.25">
      <c r="A678" t="s">
        <v>767</v>
      </c>
      <c r="B678" t="s">
        <v>747</v>
      </c>
      <c r="C678" s="69">
        <v>43866</v>
      </c>
      <c r="D678" s="28">
        <v>375.33100000000002</v>
      </c>
    </row>
    <row r="679" spans="1:4" x14ac:dyDescent="0.25">
      <c r="A679" t="s">
        <v>330</v>
      </c>
      <c r="B679" t="s">
        <v>331</v>
      </c>
      <c r="C679" s="69">
        <v>43866</v>
      </c>
      <c r="D679" s="28">
        <v>2200</v>
      </c>
    </row>
    <row r="680" spans="1:4" x14ac:dyDescent="0.25">
      <c r="A680" t="s">
        <v>423</v>
      </c>
      <c r="B680" t="s">
        <v>424</v>
      </c>
      <c r="C680" s="69">
        <v>43866</v>
      </c>
      <c r="D680" s="28">
        <v>5781.6760000000004</v>
      </c>
    </row>
    <row r="681" spans="1:4" x14ac:dyDescent="0.25">
      <c r="A681" t="s">
        <v>425</v>
      </c>
      <c r="B681" t="s">
        <v>426</v>
      </c>
      <c r="C681" s="69">
        <v>43866</v>
      </c>
      <c r="D681" s="28">
        <v>4000</v>
      </c>
    </row>
    <row r="682" spans="1:4" x14ac:dyDescent="0.25">
      <c r="A682" t="s">
        <v>647</v>
      </c>
      <c r="B682" t="s">
        <v>646</v>
      </c>
      <c r="C682" s="69">
        <v>43866</v>
      </c>
      <c r="D682" s="28">
        <v>2000</v>
      </c>
    </row>
    <row r="683" spans="1:4" x14ac:dyDescent="0.25">
      <c r="A683" t="s">
        <v>988</v>
      </c>
      <c r="B683" t="s">
        <v>987</v>
      </c>
      <c r="C683" s="69">
        <v>43866</v>
      </c>
      <c r="D683" s="28">
        <v>1207.115</v>
      </c>
    </row>
    <row r="684" spans="1:4" x14ac:dyDescent="0.25">
      <c r="A684" t="s">
        <v>301</v>
      </c>
      <c r="B684" t="s">
        <v>302</v>
      </c>
      <c r="C684" s="69">
        <v>43866</v>
      </c>
      <c r="D684" s="28">
        <v>2150</v>
      </c>
    </row>
    <row r="685" spans="1:4" x14ac:dyDescent="0.25">
      <c r="A685" t="s">
        <v>304</v>
      </c>
      <c r="B685" t="s">
        <v>305</v>
      </c>
      <c r="C685" s="69">
        <v>43867</v>
      </c>
      <c r="D685" s="28">
        <v>620.5</v>
      </c>
    </row>
    <row r="686" spans="1:4" x14ac:dyDescent="0.25">
      <c r="A686" t="s">
        <v>612</v>
      </c>
      <c r="B686" t="s">
        <v>611</v>
      </c>
      <c r="C686" s="69">
        <v>43867</v>
      </c>
      <c r="D686" s="28">
        <v>2380</v>
      </c>
    </row>
    <row r="687" spans="1:4" x14ac:dyDescent="0.25">
      <c r="A687" t="s">
        <v>1087</v>
      </c>
      <c r="B687" t="s">
        <v>1088</v>
      </c>
      <c r="C687" s="69">
        <v>43867</v>
      </c>
      <c r="D687" s="28">
        <v>3500</v>
      </c>
    </row>
    <row r="688" spans="1:4" x14ac:dyDescent="0.25">
      <c r="A688" t="s">
        <v>978</v>
      </c>
      <c r="B688" t="s">
        <v>401</v>
      </c>
      <c r="C688" s="69">
        <v>43867</v>
      </c>
      <c r="D688" s="28">
        <v>1220.4010000000001</v>
      </c>
    </row>
    <row r="689" spans="1:4" x14ac:dyDescent="0.25">
      <c r="A689" t="s">
        <v>336</v>
      </c>
      <c r="B689" t="s">
        <v>337</v>
      </c>
      <c r="C689" s="69">
        <v>43867</v>
      </c>
      <c r="D689" s="28">
        <v>3500</v>
      </c>
    </row>
    <row r="690" spans="1:4" x14ac:dyDescent="0.25">
      <c r="A690" t="s">
        <v>713</v>
      </c>
      <c r="B690" t="s">
        <v>712</v>
      </c>
      <c r="C690" s="69">
        <v>43867</v>
      </c>
      <c r="D690" s="28">
        <v>2563.7339999999999</v>
      </c>
    </row>
    <row r="691" spans="1:4" x14ac:dyDescent="0.25">
      <c r="A691" t="s">
        <v>761</v>
      </c>
      <c r="B691" t="s">
        <v>840</v>
      </c>
      <c r="C691" s="69">
        <v>43867</v>
      </c>
      <c r="D691" s="28">
        <v>700</v>
      </c>
    </row>
    <row r="692" spans="1:4" x14ac:dyDescent="0.25">
      <c r="A692" t="s">
        <v>889</v>
      </c>
      <c r="B692" t="s">
        <v>512</v>
      </c>
      <c r="C692" s="69">
        <v>43868</v>
      </c>
      <c r="D692" s="28">
        <v>3600</v>
      </c>
    </row>
    <row r="693" spans="1:4" x14ac:dyDescent="0.25">
      <c r="A693" t="s">
        <v>617</v>
      </c>
      <c r="B693" t="s">
        <v>620</v>
      </c>
      <c r="C693" s="69">
        <v>43868</v>
      </c>
      <c r="D693" s="28">
        <v>829.59500000000003</v>
      </c>
    </row>
    <row r="694" spans="1:4" x14ac:dyDescent="0.25">
      <c r="A694" t="s">
        <v>282</v>
      </c>
      <c r="B694" t="s">
        <v>283</v>
      </c>
      <c r="C694" s="69">
        <v>43868</v>
      </c>
      <c r="D694" s="28">
        <v>1500</v>
      </c>
    </row>
    <row r="695" spans="1:4" x14ac:dyDescent="0.25">
      <c r="A695" t="s">
        <v>274</v>
      </c>
      <c r="B695" t="s">
        <v>665</v>
      </c>
      <c r="C695" s="69">
        <v>43868</v>
      </c>
      <c r="D695" s="28">
        <v>3000</v>
      </c>
    </row>
    <row r="696" spans="1:4" x14ac:dyDescent="0.25">
      <c r="A696" t="s">
        <v>339</v>
      </c>
      <c r="B696" t="s">
        <v>340</v>
      </c>
      <c r="C696" s="69">
        <v>43868</v>
      </c>
      <c r="D696" s="28">
        <v>984</v>
      </c>
    </row>
    <row r="697" spans="1:4" x14ac:dyDescent="0.25">
      <c r="A697" t="s">
        <v>830</v>
      </c>
      <c r="B697" t="s">
        <v>668</v>
      </c>
      <c r="C697" s="69">
        <v>43868</v>
      </c>
      <c r="D697" s="28">
        <v>1295.5940000000001</v>
      </c>
    </row>
    <row r="698" spans="1:4" x14ac:dyDescent="0.25">
      <c r="A698" t="s">
        <v>444</v>
      </c>
      <c r="B698" t="s">
        <v>316</v>
      </c>
      <c r="C698" s="69">
        <v>43868</v>
      </c>
      <c r="D698" s="28">
        <v>1361.6289999999999</v>
      </c>
    </row>
    <row r="699" spans="1:4" x14ac:dyDescent="0.25">
      <c r="A699" t="s">
        <v>279</v>
      </c>
      <c r="B699" t="s">
        <v>669</v>
      </c>
      <c r="C699" s="69">
        <v>43869</v>
      </c>
      <c r="D699" s="28">
        <v>1333</v>
      </c>
    </row>
    <row r="700" spans="1:4" x14ac:dyDescent="0.25">
      <c r="A700" t="s">
        <v>339</v>
      </c>
      <c r="B700" t="s">
        <v>340</v>
      </c>
      <c r="C700" s="69">
        <v>43870</v>
      </c>
      <c r="D700" s="28">
        <v>983</v>
      </c>
    </row>
    <row r="701" spans="1:4" x14ac:dyDescent="0.25">
      <c r="A701" t="s">
        <v>875</v>
      </c>
      <c r="B701" t="s">
        <v>772</v>
      </c>
      <c r="C701" s="69">
        <v>43871</v>
      </c>
      <c r="D701" s="28">
        <v>1020</v>
      </c>
    </row>
    <row r="702" spans="1:4" x14ac:dyDescent="0.25">
      <c r="A702" t="s">
        <v>875</v>
      </c>
      <c r="B702" t="s">
        <v>772</v>
      </c>
      <c r="C702" s="69">
        <v>43871</v>
      </c>
      <c r="D702" s="28">
        <v>1020</v>
      </c>
    </row>
    <row r="703" spans="1:4" x14ac:dyDescent="0.25">
      <c r="A703" t="s">
        <v>378</v>
      </c>
      <c r="B703" t="s">
        <v>379</v>
      </c>
      <c r="C703" s="69">
        <v>43871</v>
      </c>
      <c r="D703" s="28">
        <v>5296.2669999999998</v>
      </c>
    </row>
    <row r="704" spans="1:4" x14ac:dyDescent="0.25">
      <c r="A704" t="s">
        <v>389</v>
      </c>
      <c r="B704" t="s">
        <v>390</v>
      </c>
      <c r="C704" s="69">
        <v>43871</v>
      </c>
      <c r="D704" s="28">
        <v>5829.6379999999999</v>
      </c>
    </row>
    <row r="705" spans="1:4" x14ac:dyDescent="0.25">
      <c r="A705" t="s">
        <v>710</v>
      </c>
      <c r="B705" t="s">
        <v>709</v>
      </c>
      <c r="C705" s="69">
        <v>43871</v>
      </c>
      <c r="D705" s="28">
        <v>3755.4250000000002</v>
      </c>
    </row>
    <row r="706" spans="1:4" x14ac:dyDescent="0.25">
      <c r="A706" t="s">
        <v>282</v>
      </c>
      <c r="B706" t="s">
        <v>283</v>
      </c>
      <c r="C706" s="69">
        <v>43871</v>
      </c>
      <c r="D706" s="28">
        <v>1500</v>
      </c>
    </row>
    <row r="707" spans="1:4" x14ac:dyDescent="0.25">
      <c r="A707" t="s">
        <v>306</v>
      </c>
      <c r="B707" t="s">
        <v>307</v>
      </c>
      <c r="C707" s="69">
        <v>43871</v>
      </c>
      <c r="D707" s="28">
        <v>1500</v>
      </c>
    </row>
    <row r="708" spans="1:4" x14ac:dyDescent="0.25">
      <c r="A708" t="s">
        <v>502</v>
      </c>
      <c r="B708" t="s">
        <v>507</v>
      </c>
      <c r="C708" s="69">
        <v>43871</v>
      </c>
      <c r="D708" s="28">
        <v>2303.8760000000002</v>
      </c>
    </row>
    <row r="709" spans="1:4" x14ac:dyDescent="0.25">
      <c r="A709" t="s">
        <v>332</v>
      </c>
      <c r="B709" t="s">
        <v>333</v>
      </c>
      <c r="C709" s="69">
        <v>43871</v>
      </c>
      <c r="D709" s="28">
        <v>1000</v>
      </c>
    </row>
    <row r="710" spans="1:4" x14ac:dyDescent="0.25">
      <c r="A710" t="s">
        <v>484</v>
      </c>
      <c r="B710" t="s">
        <v>439</v>
      </c>
      <c r="C710" s="69">
        <v>43871</v>
      </c>
      <c r="D710" s="28">
        <v>1089.3130000000001</v>
      </c>
    </row>
    <row r="711" spans="1:4" x14ac:dyDescent="0.25">
      <c r="A711" t="s">
        <v>312</v>
      </c>
      <c r="B711" t="s">
        <v>313</v>
      </c>
      <c r="C711" s="69">
        <v>43871</v>
      </c>
      <c r="D711" s="28">
        <v>1060</v>
      </c>
    </row>
    <row r="712" spans="1:4" x14ac:dyDescent="0.25">
      <c r="A712" t="s">
        <v>1038</v>
      </c>
      <c r="B712" t="s">
        <v>481</v>
      </c>
      <c r="C712" s="69">
        <v>43871</v>
      </c>
      <c r="D712" s="28">
        <v>1480.847</v>
      </c>
    </row>
    <row r="713" spans="1:4" x14ac:dyDescent="0.25">
      <c r="A713" t="s">
        <v>719</v>
      </c>
      <c r="B713" t="s">
        <v>664</v>
      </c>
      <c r="C713" s="69">
        <v>43871</v>
      </c>
      <c r="D713" s="28">
        <v>6374.64</v>
      </c>
    </row>
    <row r="714" spans="1:4" x14ac:dyDescent="0.25">
      <c r="A714" t="s">
        <v>830</v>
      </c>
      <c r="B714" t="s">
        <v>668</v>
      </c>
      <c r="C714" s="69">
        <v>43871</v>
      </c>
      <c r="D714" s="28">
        <v>1315.2650000000001</v>
      </c>
    </row>
    <row r="715" spans="1:4" x14ac:dyDescent="0.25">
      <c r="A715" t="s">
        <v>445</v>
      </c>
      <c r="B715" t="s">
        <v>293</v>
      </c>
      <c r="C715" s="69">
        <v>43871</v>
      </c>
      <c r="D715" s="28">
        <v>1593.317</v>
      </c>
    </row>
    <row r="716" spans="1:4" x14ac:dyDescent="0.25">
      <c r="A716" t="s">
        <v>882</v>
      </c>
      <c r="B716" t="s">
        <v>672</v>
      </c>
      <c r="C716" s="69">
        <v>43871</v>
      </c>
      <c r="D716" s="28">
        <v>2611.8530000000001</v>
      </c>
    </row>
    <row r="717" spans="1:4" x14ac:dyDescent="0.25">
      <c r="A717" t="s">
        <v>1030</v>
      </c>
      <c r="B717" t="s">
        <v>275</v>
      </c>
      <c r="C717" s="69">
        <v>43871</v>
      </c>
      <c r="D717" s="28">
        <v>3702.0230000000001</v>
      </c>
    </row>
    <row r="718" spans="1:4" x14ac:dyDescent="0.25">
      <c r="A718" t="s">
        <v>965</v>
      </c>
      <c r="B718" t="s">
        <v>368</v>
      </c>
      <c r="C718" s="69">
        <v>43871</v>
      </c>
      <c r="D718" s="28">
        <v>8258.2710000000006</v>
      </c>
    </row>
    <row r="719" spans="1:4" x14ac:dyDescent="0.25">
      <c r="A719" t="s">
        <v>1029</v>
      </c>
      <c r="B719" t="s">
        <v>662</v>
      </c>
      <c r="C719" s="69">
        <v>43871</v>
      </c>
      <c r="D719" s="28">
        <v>10000</v>
      </c>
    </row>
    <row r="720" spans="1:4" x14ac:dyDescent="0.25">
      <c r="A720" t="s">
        <v>964</v>
      </c>
      <c r="B720" t="s">
        <v>432</v>
      </c>
      <c r="C720" s="69">
        <v>43871</v>
      </c>
      <c r="D720" s="28">
        <v>1750</v>
      </c>
    </row>
    <row r="721" spans="1:4" x14ac:dyDescent="0.25">
      <c r="A721" t="s">
        <v>1138</v>
      </c>
      <c r="B721" t="s">
        <v>430</v>
      </c>
      <c r="C721" s="69">
        <v>43871</v>
      </c>
      <c r="D721" s="28">
        <v>2072.509</v>
      </c>
    </row>
    <row r="722" spans="1:4" x14ac:dyDescent="0.25">
      <c r="A722" t="s">
        <v>1039</v>
      </c>
      <c r="B722" t="s">
        <v>563</v>
      </c>
      <c r="C722" s="69">
        <v>43871</v>
      </c>
      <c r="D722" s="28">
        <v>14948.724</v>
      </c>
    </row>
    <row r="723" spans="1:4" x14ac:dyDescent="0.25">
      <c r="A723" t="s">
        <v>797</v>
      </c>
      <c r="B723" t="s">
        <v>400</v>
      </c>
      <c r="C723" s="69">
        <v>43871</v>
      </c>
      <c r="D723" s="28">
        <v>888.60799999999995</v>
      </c>
    </row>
    <row r="724" spans="1:4" x14ac:dyDescent="0.25">
      <c r="A724" t="s">
        <v>1175</v>
      </c>
      <c r="B724" t="s">
        <v>503</v>
      </c>
      <c r="C724" s="69">
        <v>43871</v>
      </c>
      <c r="D724" s="28">
        <v>969.13599999999997</v>
      </c>
    </row>
    <row r="725" spans="1:4" x14ac:dyDescent="0.25">
      <c r="A725" t="s">
        <v>893</v>
      </c>
      <c r="B725" t="s">
        <v>353</v>
      </c>
      <c r="C725" s="69">
        <v>43871</v>
      </c>
      <c r="D725" s="28">
        <v>1380.5</v>
      </c>
    </row>
    <row r="726" spans="1:4" x14ac:dyDescent="0.25">
      <c r="A726" t="s">
        <v>930</v>
      </c>
      <c r="B726" t="s">
        <v>708</v>
      </c>
      <c r="C726" s="69">
        <v>43871</v>
      </c>
      <c r="D726" s="28">
        <v>1813.357</v>
      </c>
    </row>
    <row r="727" spans="1:4" x14ac:dyDescent="0.25">
      <c r="A727" t="s">
        <v>817</v>
      </c>
      <c r="B727" t="s">
        <v>543</v>
      </c>
      <c r="C727" s="69">
        <v>43871</v>
      </c>
      <c r="D727" s="28">
        <v>1500</v>
      </c>
    </row>
    <row r="728" spans="1:4" x14ac:dyDescent="0.25">
      <c r="A728" t="s">
        <v>1351</v>
      </c>
      <c r="B728" t="s">
        <v>509</v>
      </c>
      <c r="C728" s="69">
        <v>43871</v>
      </c>
      <c r="D728" s="28">
        <v>1138.1099999999999</v>
      </c>
    </row>
    <row r="729" spans="1:4" x14ac:dyDescent="0.25">
      <c r="A729" t="s">
        <v>1352</v>
      </c>
      <c r="B729" t="s">
        <v>459</v>
      </c>
      <c r="C729" s="69">
        <v>43871</v>
      </c>
      <c r="D729" s="28">
        <v>1819.84</v>
      </c>
    </row>
    <row r="730" spans="1:4" x14ac:dyDescent="0.25">
      <c r="A730" t="s">
        <v>434</v>
      </c>
      <c r="B730" t="s">
        <v>412</v>
      </c>
      <c r="C730" s="69">
        <v>43871</v>
      </c>
      <c r="D730" s="28">
        <v>6600</v>
      </c>
    </row>
    <row r="731" spans="1:4" x14ac:dyDescent="0.25">
      <c r="A731" t="s">
        <v>456</v>
      </c>
      <c r="B731" t="s">
        <v>457</v>
      </c>
      <c r="C731" s="69">
        <v>43871</v>
      </c>
      <c r="D731" s="28">
        <v>3500</v>
      </c>
    </row>
    <row r="732" spans="1:4" x14ac:dyDescent="0.25">
      <c r="A732" t="s">
        <v>299</v>
      </c>
      <c r="B732" t="s">
        <v>300</v>
      </c>
      <c r="C732" s="69">
        <v>43871</v>
      </c>
      <c r="D732" s="28">
        <v>1748.3530000000001</v>
      </c>
    </row>
    <row r="733" spans="1:4" x14ac:dyDescent="0.25">
      <c r="A733" t="s">
        <v>297</v>
      </c>
      <c r="B733" t="s">
        <v>298</v>
      </c>
      <c r="C733" s="69">
        <v>43871</v>
      </c>
      <c r="D733" s="28">
        <v>1800</v>
      </c>
    </row>
    <row r="734" spans="1:4" x14ac:dyDescent="0.25">
      <c r="A734" t="s">
        <v>375</v>
      </c>
      <c r="B734" t="s">
        <v>376</v>
      </c>
      <c r="C734" s="69">
        <v>43871</v>
      </c>
      <c r="D734" s="28">
        <v>1453.2070000000001</v>
      </c>
    </row>
    <row r="735" spans="1:4" x14ac:dyDescent="0.25">
      <c r="A735" t="s">
        <v>336</v>
      </c>
      <c r="B735" t="s">
        <v>337</v>
      </c>
      <c r="C735" s="69">
        <v>43871</v>
      </c>
      <c r="D735" s="28">
        <v>3500</v>
      </c>
    </row>
    <row r="736" spans="1:4" x14ac:dyDescent="0.25">
      <c r="A736" t="s">
        <v>599</v>
      </c>
      <c r="B736" t="s">
        <v>598</v>
      </c>
      <c r="C736" s="69">
        <v>43871</v>
      </c>
      <c r="D736" s="28">
        <v>2500</v>
      </c>
    </row>
    <row r="737" spans="1:4" x14ac:dyDescent="0.25">
      <c r="A737" t="s">
        <v>317</v>
      </c>
      <c r="B737" t="s">
        <v>318</v>
      </c>
      <c r="C737" s="69">
        <v>43871</v>
      </c>
      <c r="D737" s="28">
        <v>1498.1310000000001</v>
      </c>
    </row>
    <row r="738" spans="1:4" x14ac:dyDescent="0.25">
      <c r="A738" t="s">
        <v>328</v>
      </c>
      <c r="B738" t="s">
        <v>329</v>
      </c>
      <c r="C738" s="69">
        <v>43871</v>
      </c>
      <c r="D738" s="28">
        <v>1698</v>
      </c>
    </row>
    <row r="739" spans="1:4" x14ac:dyDescent="0.25">
      <c r="A739" t="s">
        <v>586</v>
      </c>
      <c r="B739" t="s">
        <v>585</v>
      </c>
      <c r="C739" s="69">
        <v>43871</v>
      </c>
      <c r="D739" s="28">
        <v>7973.0789999999997</v>
      </c>
    </row>
    <row r="740" spans="1:4" x14ac:dyDescent="0.25">
      <c r="A740" t="s">
        <v>724</v>
      </c>
      <c r="B740" t="s">
        <v>723</v>
      </c>
      <c r="C740" s="69">
        <v>43871</v>
      </c>
      <c r="D740" s="28">
        <v>3000</v>
      </c>
    </row>
    <row r="741" spans="1:4" x14ac:dyDescent="0.25">
      <c r="A741" t="s">
        <v>758</v>
      </c>
      <c r="B741" t="s">
        <v>757</v>
      </c>
      <c r="C741" s="69">
        <v>43871</v>
      </c>
      <c r="D741" s="28">
        <v>684.52099999999996</v>
      </c>
    </row>
    <row r="742" spans="1:4" x14ac:dyDescent="0.25">
      <c r="A742" t="s">
        <v>758</v>
      </c>
      <c r="B742" t="s">
        <v>757</v>
      </c>
      <c r="C742" s="69">
        <v>43871</v>
      </c>
      <c r="D742" s="28">
        <v>800</v>
      </c>
    </row>
    <row r="743" spans="1:4" x14ac:dyDescent="0.25">
      <c r="A743" t="s">
        <v>795</v>
      </c>
      <c r="B743" t="s">
        <v>805</v>
      </c>
      <c r="C743" s="69">
        <v>43871</v>
      </c>
      <c r="D743" s="28">
        <v>1900</v>
      </c>
    </row>
    <row r="744" spans="1:4" x14ac:dyDescent="0.25">
      <c r="A744" t="s">
        <v>382</v>
      </c>
      <c r="B744" t="s">
        <v>383</v>
      </c>
      <c r="C744" s="69">
        <v>43871</v>
      </c>
      <c r="D744" s="28">
        <v>1428.222</v>
      </c>
    </row>
    <row r="745" spans="1:4" x14ac:dyDescent="0.25">
      <c r="A745" t="s">
        <v>301</v>
      </c>
      <c r="B745" t="s">
        <v>302</v>
      </c>
      <c r="C745" s="69">
        <v>43871</v>
      </c>
      <c r="D745" s="28">
        <v>2150</v>
      </c>
    </row>
    <row r="746" spans="1:4" x14ac:dyDescent="0.25">
      <c r="A746" t="s">
        <v>447</v>
      </c>
      <c r="B746" t="s">
        <v>276</v>
      </c>
      <c r="C746" s="69">
        <v>43871</v>
      </c>
      <c r="D746" s="28">
        <v>362.92500000000001</v>
      </c>
    </row>
    <row r="747" spans="1:4" x14ac:dyDescent="0.25">
      <c r="A747" t="s">
        <v>382</v>
      </c>
      <c r="B747" t="s">
        <v>383</v>
      </c>
      <c r="C747" s="69">
        <v>43871</v>
      </c>
      <c r="D747" s="28">
        <v>403.05799999999999</v>
      </c>
    </row>
    <row r="748" spans="1:4" x14ac:dyDescent="0.25">
      <c r="A748" t="s">
        <v>905</v>
      </c>
      <c r="B748" t="s">
        <v>938</v>
      </c>
      <c r="C748" s="69">
        <v>43872</v>
      </c>
      <c r="D748" s="28">
        <v>1000</v>
      </c>
    </row>
    <row r="749" spans="1:4" x14ac:dyDescent="0.25">
      <c r="A749" t="s">
        <v>304</v>
      </c>
      <c r="B749" t="s">
        <v>305</v>
      </c>
      <c r="C749" s="69">
        <v>43872</v>
      </c>
      <c r="D749" s="28">
        <v>902.75</v>
      </c>
    </row>
    <row r="750" spans="1:4" x14ac:dyDescent="0.25">
      <c r="A750" t="s">
        <v>277</v>
      </c>
      <c r="B750" t="s">
        <v>278</v>
      </c>
      <c r="C750" s="69">
        <v>43872</v>
      </c>
      <c r="D750" s="28">
        <v>845</v>
      </c>
    </row>
    <row r="751" spans="1:4" x14ac:dyDescent="0.25">
      <c r="A751" t="s">
        <v>339</v>
      </c>
      <c r="B751" t="s">
        <v>340</v>
      </c>
      <c r="C751" s="69">
        <v>43872</v>
      </c>
      <c r="D751" s="28">
        <v>982</v>
      </c>
    </row>
    <row r="752" spans="1:4" x14ac:dyDescent="0.25">
      <c r="A752" t="s">
        <v>444</v>
      </c>
      <c r="B752" t="s">
        <v>316</v>
      </c>
      <c r="C752" s="69">
        <v>43872</v>
      </c>
      <c r="D752" s="28">
        <v>1361.6289999999999</v>
      </c>
    </row>
    <row r="753" spans="1:4" x14ac:dyDescent="0.25">
      <c r="A753" t="s">
        <v>349</v>
      </c>
      <c r="B753" t="s">
        <v>350</v>
      </c>
      <c r="C753" s="69">
        <v>43872</v>
      </c>
      <c r="D753" s="28">
        <v>1500</v>
      </c>
    </row>
    <row r="754" spans="1:4" x14ac:dyDescent="0.25">
      <c r="A754" t="s">
        <v>303</v>
      </c>
      <c r="B754" t="s">
        <v>670</v>
      </c>
      <c r="C754" s="69">
        <v>43872</v>
      </c>
      <c r="D754" s="28">
        <v>1650</v>
      </c>
    </row>
    <row r="755" spans="1:4" x14ac:dyDescent="0.25">
      <c r="A755" t="s">
        <v>304</v>
      </c>
      <c r="B755" t="s">
        <v>305</v>
      </c>
      <c r="C755" s="69">
        <v>43873</v>
      </c>
      <c r="D755" s="28">
        <v>620.5</v>
      </c>
    </row>
    <row r="756" spans="1:4" x14ac:dyDescent="0.25">
      <c r="A756" t="s">
        <v>282</v>
      </c>
      <c r="B756" t="s">
        <v>283</v>
      </c>
      <c r="C756" s="69">
        <v>43873</v>
      </c>
      <c r="D756" s="28">
        <v>1500</v>
      </c>
    </row>
    <row r="757" spans="1:4" x14ac:dyDescent="0.25">
      <c r="A757" t="s">
        <v>945</v>
      </c>
      <c r="B757" t="s">
        <v>787</v>
      </c>
      <c r="C757" s="69">
        <v>43873</v>
      </c>
      <c r="D757" s="28">
        <v>5499.24</v>
      </c>
    </row>
    <row r="758" spans="1:4" x14ac:dyDescent="0.25">
      <c r="A758" t="s">
        <v>270</v>
      </c>
      <c r="B758" t="s">
        <v>666</v>
      </c>
      <c r="C758" s="69">
        <v>43873</v>
      </c>
      <c r="D758" s="28">
        <v>2100</v>
      </c>
    </row>
    <row r="759" spans="1:4" x14ac:dyDescent="0.25">
      <c r="A759" t="s">
        <v>1037</v>
      </c>
      <c r="B759" t="s">
        <v>471</v>
      </c>
      <c r="C759" s="69">
        <v>43873</v>
      </c>
      <c r="D759" s="28">
        <v>2799.9090000000001</v>
      </c>
    </row>
    <row r="760" spans="1:4" x14ac:dyDescent="0.25">
      <c r="A760" t="s">
        <v>1243</v>
      </c>
      <c r="B760" t="s">
        <v>940</v>
      </c>
      <c r="C760" s="69">
        <v>43873</v>
      </c>
      <c r="D760" s="28">
        <v>2592.4989999999998</v>
      </c>
    </row>
    <row r="761" spans="1:4" x14ac:dyDescent="0.25">
      <c r="A761" t="s">
        <v>1350</v>
      </c>
      <c r="B761" t="s">
        <v>1349</v>
      </c>
      <c r="C761" s="69">
        <v>43873</v>
      </c>
      <c r="D761" s="28">
        <v>2317.9319999999998</v>
      </c>
    </row>
    <row r="762" spans="1:4" x14ac:dyDescent="0.25">
      <c r="A762" t="s">
        <v>330</v>
      </c>
      <c r="B762" t="s">
        <v>331</v>
      </c>
      <c r="C762" s="69">
        <v>43873</v>
      </c>
      <c r="D762" s="28">
        <v>2200</v>
      </c>
    </row>
    <row r="763" spans="1:4" x14ac:dyDescent="0.25">
      <c r="A763" t="s">
        <v>357</v>
      </c>
      <c r="B763" t="s">
        <v>358</v>
      </c>
      <c r="C763" s="69">
        <v>43873</v>
      </c>
      <c r="D763" s="28">
        <v>2800</v>
      </c>
    </row>
    <row r="764" spans="1:4" x14ac:dyDescent="0.25">
      <c r="A764" t="s">
        <v>566</v>
      </c>
      <c r="B764" t="s">
        <v>565</v>
      </c>
      <c r="C764" s="69">
        <v>43873</v>
      </c>
      <c r="D764" s="28">
        <v>5478.1790000000001</v>
      </c>
    </row>
    <row r="765" spans="1:4" x14ac:dyDescent="0.25">
      <c r="A765" t="s">
        <v>447</v>
      </c>
      <c r="B765" t="s">
        <v>276</v>
      </c>
      <c r="C765" s="69">
        <v>43873</v>
      </c>
      <c r="D765" s="28">
        <v>504.238</v>
      </c>
    </row>
    <row r="766" spans="1:4" x14ac:dyDescent="0.25">
      <c r="A766" t="s">
        <v>274</v>
      </c>
      <c r="B766" t="s">
        <v>665</v>
      </c>
      <c r="C766" s="69">
        <v>43874</v>
      </c>
      <c r="D766" s="28">
        <v>3000</v>
      </c>
    </row>
    <row r="767" spans="1:4" x14ac:dyDescent="0.25">
      <c r="A767" t="s">
        <v>460</v>
      </c>
      <c r="B767" t="s">
        <v>461</v>
      </c>
      <c r="C767" s="69">
        <v>43874</v>
      </c>
      <c r="D767" s="28">
        <v>8489.5889999999999</v>
      </c>
    </row>
    <row r="768" spans="1:4" x14ac:dyDescent="0.25">
      <c r="A768" t="s">
        <v>339</v>
      </c>
      <c r="B768" t="s">
        <v>340</v>
      </c>
      <c r="C768" s="69">
        <v>43874</v>
      </c>
      <c r="D768" s="28">
        <v>981</v>
      </c>
    </row>
    <row r="769" spans="1:4" x14ac:dyDescent="0.25">
      <c r="A769" t="s">
        <v>794</v>
      </c>
      <c r="B769" t="s">
        <v>480</v>
      </c>
      <c r="C769" s="69">
        <v>43874</v>
      </c>
      <c r="D769" s="28">
        <v>2037.6980000000001</v>
      </c>
    </row>
    <row r="770" spans="1:4" x14ac:dyDescent="0.25">
      <c r="A770" t="s">
        <v>336</v>
      </c>
      <c r="B770" t="s">
        <v>337</v>
      </c>
      <c r="C770" s="69">
        <v>43874</v>
      </c>
      <c r="D770" s="28">
        <v>3500</v>
      </c>
    </row>
    <row r="771" spans="1:4" x14ac:dyDescent="0.25">
      <c r="A771" t="s">
        <v>428</v>
      </c>
      <c r="B771" t="s">
        <v>429</v>
      </c>
      <c r="C771" s="69">
        <v>43874</v>
      </c>
      <c r="D771" s="28">
        <v>1500</v>
      </c>
    </row>
    <row r="772" spans="1:4" x14ac:dyDescent="0.25">
      <c r="A772" t="s">
        <v>761</v>
      </c>
      <c r="B772" t="s">
        <v>840</v>
      </c>
      <c r="C772" s="69">
        <v>43874</v>
      </c>
      <c r="D772" s="28">
        <v>676.88800000000003</v>
      </c>
    </row>
    <row r="773" spans="1:4" x14ac:dyDescent="0.25">
      <c r="A773" t="s">
        <v>889</v>
      </c>
      <c r="B773" t="s">
        <v>512</v>
      </c>
      <c r="C773" s="69">
        <v>43875</v>
      </c>
      <c r="D773" s="28">
        <v>3737.819</v>
      </c>
    </row>
    <row r="774" spans="1:4" x14ac:dyDescent="0.25">
      <c r="A774" t="s">
        <v>282</v>
      </c>
      <c r="B774" t="s">
        <v>283</v>
      </c>
      <c r="C774" s="69">
        <v>43875</v>
      </c>
      <c r="D774" s="28">
        <v>1500</v>
      </c>
    </row>
    <row r="775" spans="1:4" x14ac:dyDescent="0.25">
      <c r="A775" t="s">
        <v>280</v>
      </c>
      <c r="B775" t="s">
        <v>281</v>
      </c>
      <c r="C775" s="69">
        <v>43875</v>
      </c>
      <c r="D775" s="28">
        <v>3221.7809999999999</v>
      </c>
    </row>
    <row r="776" spans="1:4" x14ac:dyDescent="0.25">
      <c r="A776" t="s">
        <v>304</v>
      </c>
      <c r="B776" t="s">
        <v>305</v>
      </c>
      <c r="C776" s="69">
        <v>43875</v>
      </c>
      <c r="D776" s="28">
        <v>902.75</v>
      </c>
    </row>
    <row r="777" spans="1:4" x14ac:dyDescent="0.25">
      <c r="A777" t="s">
        <v>848</v>
      </c>
      <c r="B777" t="s">
        <v>847</v>
      </c>
      <c r="C777" s="69">
        <v>43875</v>
      </c>
      <c r="D777" s="28">
        <v>4300</v>
      </c>
    </row>
    <row r="778" spans="1:4" x14ac:dyDescent="0.25">
      <c r="A778" t="s">
        <v>1246</v>
      </c>
      <c r="B778" t="s">
        <v>584</v>
      </c>
      <c r="C778" s="69">
        <v>43875</v>
      </c>
      <c r="D778" s="28">
        <v>2016.104</v>
      </c>
    </row>
    <row r="779" spans="1:4" x14ac:dyDescent="0.25">
      <c r="A779" t="s">
        <v>625</v>
      </c>
      <c r="B779" t="s">
        <v>674</v>
      </c>
      <c r="C779" s="69">
        <v>43875</v>
      </c>
      <c r="D779" s="28">
        <v>3000</v>
      </c>
    </row>
    <row r="780" spans="1:4" x14ac:dyDescent="0.25">
      <c r="A780" t="s">
        <v>875</v>
      </c>
      <c r="B780" t="s">
        <v>772</v>
      </c>
      <c r="C780" s="69">
        <v>43876</v>
      </c>
      <c r="D780" s="28">
        <v>1020</v>
      </c>
    </row>
    <row r="781" spans="1:4" x14ac:dyDescent="0.25">
      <c r="A781" t="s">
        <v>875</v>
      </c>
      <c r="B781" t="s">
        <v>772</v>
      </c>
      <c r="C781" s="69">
        <v>43876</v>
      </c>
      <c r="D781" s="28">
        <v>1020</v>
      </c>
    </row>
    <row r="782" spans="1:4" x14ac:dyDescent="0.25">
      <c r="A782" t="s">
        <v>875</v>
      </c>
      <c r="B782" t="s">
        <v>772</v>
      </c>
      <c r="C782" s="69">
        <v>43876</v>
      </c>
      <c r="D782" s="28">
        <v>1020</v>
      </c>
    </row>
    <row r="783" spans="1:4" x14ac:dyDescent="0.25">
      <c r="A783" t="s">
        <v>304</v>
      </c>
      <c r="B783" t="s">
        <v>305</v>
      </c>
      <c r="C783" s="69">
        <v>43876</v>
      </c>
      <c r="D783" s="28">
        <v>620.5</v>
      </c>
    </row>
    <row r="784" spans="1:4" x14ac:dyDescent="0.25">
      <c r="A784" t="s">
        <v>306</v>
      </c>
      <c r="B784" t="s">
        <v>307</v>
      </c>
      <c r="C784" s="69">
        <v>43876</v>
      </c>
      <c r="D784" s="28">
        <v>1500</v>
      </c>
    </row>
    <row r="785" spans="1:4" x14ac:dyDescent="0.25">
      <c r="A785" t="s">
        <v>271</v>
      </c>
      <c r="B785" t="s">
        <v>272</v>
      </c>
      <c r="C785" s="69">
        <v>43876</v>
      </c>
      <c r="D785" s="28">
        <v>2644.319</v>
      </c>
    </row>
    <row r="786" spans="1:4" x14ac:dyDescent="0.25">
      <c r="A786" t="s">
        <v>796</v>
      </c>
      <c r="B786" t="s">
        <v>806</v>
      </c>
      <c r="C786" s="69">
        <v>43876</v>
      </c>
      <c r="D786" s="28">
        <v>2934.5940000000001</v>
      </c>
    </row>
    <row r="787" spans="1:4" x14ac:dyDescent="0.25">
      <c r="A787" t="s">
        <v>310</v>
      </c>
      <c r="B787" t="s">
        <v>311</v>
      </c>
      <c r="C787" s="69">
        <v>43876</v>
      </c>
      <c r="D787" s="28">
        <v>1031.7159999999999</v>
      </c>
    </row>
    <row r="788" spans="1:4" x14ac:dyDescent="0.25">
      <c r="A788" t="s">
        <v>896</v>
      </c>
      <c r="B788" t="s">
        <v>895</v>
      </c>
      <c r="C788" s="69">
        <v>43876</v>
      </c>
      <c r="D788" s="28">
        <v>2719.4679999999998</v>
      </c>
    </row>
    <row r="789" spans="1:4" x14ac:dyDescent="0.25">
      <c r="A789" t="s">
        <v>308</v>
      </c>
      <c r="B789" t="s">
        <v>309</v>
      </c>
      <c r="C789" s="69">
        <v>43876</v>
      </c>
      <c r="D789" s="28">
        <v>3100</v>
      </c>
    </row>
    <row r="790" spans="1:4" x14ac:dyDescent="0.25">
      <c r="A790" t="s">
        <v>312</v>
      </c>
      <c r="B790" t="s">
        <v>313</v>
      </c>
      <c r="C790" s="69">
        <v>43876</v>
      </c>
      <c r="D790" s="28">
        <v>1085</v>
      </c>
    </row>
    <row r="791" spans="1:4" x14ac:dyDescent="0.25">
      <c r="A791" t="s">
        <v>1268</v>
      </c>
      <c r="B791" t="s">
        <v>1267</v>
      </c>
      <c r="C791" s="69">
        <v>43876</v>
      </c>
      <c r="D791" s="28">
        <v>2000</v>
      </c>
    </row>
    <row r="792" spans="1:4" x14ac:dyDescent="0.25">
      <c r="A792" t="s">
        <v>986</v>
      </c>
      <c r="B792" t="s">
        <v>730</v>
      </c>
      <c r="C792" s="69">
        <v>43876</v>
      </c>
      <c r="D792" s="28">
        <v>391.18799999999999</v>
      </c>
    </row>
    <row r="793" spans="1:4" x14ac:dyDescent="0.25">
      <c r="A793" t="s">
        <v>1439</v>
      </c>
      <c r="B793" t="s">
        <v>1438</v>
      </c>
      <c r="C793" s="69">
        <v>43876</v>
      </c>
      <c r="D793" s="28">
        <v>3915.1390000000001</v>
      </c>
    </row>
    <row r="794" spans="1:4" x14ac:dyDescent="0.25">
      <c r="A794" t="s">
        <v>926</v>
      </c>
      <c r="B794" t="s">
        <v>619</v>
      </c>
      <c r="C794" s="69">
        <v>43876</v>
      </c>
      <c r="D794" s="28">
        <v>5000</v>
      </c>
    </row>
    <row r="795" spans="1:4" x14ac:dyDescent="0.25">
      <c r="A795" t="s">
        <v>339</v>
      </c>
      <c r="B795" t="s">
        <v>340</v>
      </c>
      <c r="C795" s="69">
        <v>43876</v>
      </c>
      <c r="D795" s="28">
        <v>712.87599999999998</v>
      </c>
    </row>
    <row r="796" spans="1:4" x14ac:dyDescent="0.25">
      <c r="A796" t="s">
        <v>925</v>
      </c>
      <c r="B796" t="s">
        <v>664</v>
      </c>
      <c r="C796" s="69">
        <v>43876</v>
      </c>
      <c r="D796" s="28">
        <v>6374.64</v>
      </c>
    </row>
    <row r="797" spans="1:4" x14ac:dyDescent="0.25">
      <c r="A797" t="s">
        <v>776</v>
      </c>
      <c r="B797" t="s">
        <v>327</v>
      </c>
      <c r="C797" s="69">
        <v>43876</v>
      </c>
      <c r="D797" s="28">
        <v>1316.164</v>
      </c>
    </row>
    <row r="798" spans="1:4" x14ac:dyDescent="0.25">
      <c r="A798" t="s">
        <v>354</v>
      </c>
      <c r="B798" t="s">
        <v>355</v>
      </c>
      <c r="C798" s="69">
        <v>43876</v>
      </c>
      <c r="D798" s="28">
        <v>3189.3820000000001</v>
      </c>
    </row>
    <row r="799" spans="1:4" x14ac:dyDescent="0.25">
      <c r="A799" t="s">
        <v>633</v>
      </c>
      <c r="B799" t="s">
        <v>431</v>
      </c>
      <c r="C799" s="69">
        <v>43876</v>
      </c>
      <c r="D799" s="28">
        <v>1316.508</v>
      </c>
    </row>
    <row r="800" spans="1:4" x14ac:dyDescent="0.25">
      <c r="A800" t="s">
        <v>696</v>
      </c>
      <c r="B800" t="s">
        <v>286</v>
      </c>
      <c r="C800" s="69">
        <v>43876</v>
      </c>
      <c r="D800" s="28">
        <v>7000</v>
      </c>
    </row>
    <row r="801" spans="1:4" x14ac:dyDescent="0.25">
      <c r="A801" t="s">
        <v>444</v>
      </c>
      <c r="B801" t="s">
        <v>316</v>
      </c>
      <c r="C801" s="69">
        <v>43876</v>
      </c>
      <c r="D801" s="28">
        <v>1203.8399999999999</v>
      </c>
    </row>
    <row r="802" spans="1:4" x14ac:dyDescent="0.25">
      <c r="A802" t="s">
        <v>752</v>
      </c>
      <c r="B802" t="s">
        <v>365</v>
      </c>
      <c r="C802" s="69">
        <v>43876</v>
      </c>
      <c r="D802" s="28">
        <v>5610.06</v>
      </c>
    </row>
    <row r="803" spans="1:4" x14ac:dyDescent="0.25">
      <c r="A803" t="s">
        <v>1140</v>
      </c>
      <c r="B803" t="s">
        <v>732</v>
      </c>
      <c r="C803" s="69">
        <v>43876</v>
      </c>
      <c r="D803" s="28">
        <v>700</v>
      </c>
    </row>
    <row r="804" spans="1:4" x14ac:dyDescent="0.25">
      <c r="A804" t="s">
        <v>1139</v>
      </c>
      <c r="B804" t="s">
        <v>843</v>
      </c>
      <c r="C804" s="69">
        <v>43876</v>
      </c>
      <c r="D804" s="28">
        <v>1250</v>
      </c>
    </row>
    <row r="805" spans="1:4" x14ac:dyDescent="0.25">
      <c r="A805" t="s">
        <v>993</v>
      </c>
      <c r="B805" t="s">
        <v>291</v>
      </c>
      <c r="C805" s="69">
        <v>43876</v>
      </c>
      <c r="D805" s="28">
        <v>5500</v>
      </c>
    </row>
    <row r="806" spans="1:4" x14ac:dyDescent="0.25">
      <c r="A806" t="s">
        <v>1178</v>
      </c>
      <c r="B806" t="s">
        <v>356</v>
      </c>
      <c r="C806" s="69">
        <v>43876</v>
      </c>
      <c r="D806" s="28">
        <v>3023.0120000000002</v>
      </c>
    </row>
    <row r="807" spans="1:4" x14ac:dyDescent="0.25">
      <c r="A807" t="s">
        <v>1173</v>
      </c>
      <c r="B807" t="s">
        <v>448</v>
      </c>
      <c r="C807" s="69">
        <v>43876</v>
      </c>
      <c r="D807" s="28">
        <v>7000</v>
      </c>
    </row>
    <row r="808" spans="1:4" x14ac:dyDescent="0.25">
      <c r="A808" t="s">
        <v>893</v>
      </c>
      <c r="B808" t="s">
        <v>353</v>
      </c>
      <c r="C808" s="69">
        <v>43876</v>
      </c>
      <c r="D808" s="28">
        <v>1422.4480000000001</v>
      </c>
    </row>
    <row r="809" spans="1:4" x14ac:dyDescent="0.25">
      <c r="A809" t="s">
        <v>974</v>
      </c>
      <c r="B809" t="s">
        <v>555</v>
      </c>
      <c r="C809" s="69">
        <v>43876</v>
      </c>
      <c r="D809" s="28">
        <v>1122.8330000000001</v>
      </c>
    </row>
    <row r="810" spans="1:4" x14ac:dyDescent="0.25">
      <c r="A810" t="s">
        <v>804</v>
      </c>
      <c r="B810" t="s">
        <v>284</v>
      </c>
      <c r="C810" s="69">
        <v>43876</v>
      </c>
      <c r="D810" s="28">
        <v>1040.7860000000001</v>
      </c>
    </row>
    <row r="811" spans="1:4" x14ac:dyDescent="0.25">
      <c r="A811" t="s">
        <v>1266</v>
      </c>
      <c r="B811" t="s">
        <v>510</v>
      </c>
      <c r="C811" s="69">
        <v>43876</v>
      </c>
      <c r="D811" s="28">
        <v>1570.5830000000001</v>
      </c>
    </row>
    <row r="812" spans="1:4" x14ac:dyDescent="0.25">
      <c r="A812" t="s">
        <v>1290</v>
      </c>
      <c r="B812" t="s">
        <v>1289</v>
      </c>
      <c r="C812" s="69">
        <v>43876</v>
      </c>
      <c r="D812" s="28">
        <v>1069.982</v>
      </c>
    </row>
    <row r="813" spans="1:4" x14ac:dyDescent="0.25">
      <c r="A813" t="s">
        <v>1288</v>
      </c>
      <c r="B813" t="s">
        <v>957</v>
      </c>
      <c r="C813" s="69">
        <v>43876</v>
      </c>
      <c r="D813" s="28">
        <v>1500</v>
      </c>
    </row>
    <row r="814" spans="1:4" x14ac:dyDescent="0.25">
      <c r="A814" t="s">
        <v>880</v>
      </c>
      <c r="B814" t="s">
        <v>645</v>
      </c>
      <c r="C814" s="69">
        <v>43876</v>
      </c>
      <c r="D814" s="28">
        <v>1500</v>
      </c>
    </row>
    <row r="815" spans="1:4" x14ac:dyDescent="0.25">
      <c r="A815" t="s">
        <v>450</v>
      </c>
      <c r="B815" t="s">
        <v>451</v>
      </c>
      <c r="C815" s="69">
        <v>43876</v>
      </c>
      <c r="D815" s="28">
        <v>4533.6610000000001</v>
      </c>
    </row>
    <row r="816" spans="1:4" x14ac:dyDescent="0.25">
      <c r="A816" t="s">
        <v>452</v>
      </c>
      <c r="B816" t="s">
        <v>453</v>
      </c>
      <c r="C816" s="69">
        <v>43876</v>
      </c>
      <c r="D816" s="28">
        <v>1618.011</v>
      </c>
    </row>
    <row r="817" spans="1:4" x14ac:dyDescent="0.25">
      <c r="A817" t="s">
        <v>413</v>
      </c>
      <c r="B817" t="s">
        <v>414</v>
      </c>
      <c r="C817" s="69">
        <v>43876</v>
      </c>
      <c r="D817" s="28">
        <v>3017.5819999999999</v>
      </c>
    </row>
    <row r="818" spans="1:4" x14ac:dyDescent="0.25">
      <c r="A818" t="s">
        <v>328</v>
      </c>
      <c r="B818" t="s">
        <v>329</v>
      </c>
      <c r="C818" s="69">
        <v>43876</v>
      </c>
      <c r="D818" s="28">
        <v>1698</v>
      </c>
    </row>
    <row r="819" spans="1:4" x14ac:dyDescent="0.25">
      <c r="A819" t="s">
        <v>548</v>
      </c>
      <c r="B819" t="s">
        <v>547</v>
      </c>
      <c r="C819" s="69">
        <v>43876</v>
      </c>
      <c r="D819" s="28">
        <v>450</v>
      </c>
    </row>
    <row r="820" spans="1:4" x14ac:dyDescent="0.25">
      <c r="A820" t="s">
        <v>301</v>
      </c>
      <c r="B820" t="s">
        <v>302</v>
      </c>
      <c r="C820" s="69">
        <v>43876</v>
      </c>
      <c r="D820" s="28">
        <v>2150</v>
      </c>
    </row>
    <row r="821" spans="1:4" x14ac:dyDescent="0.25">
      <c r="A821" t="s">
        <v>437</v>
      </c>
      <c r="B821" t="s">
        <v>438</v>
      </c>
      <c r="C821" s="69">
        <v>43876</v>
      </c>
      <c r="D821" s="28">
        <v>2394.404</v>
      </c>
    </row>
    <row r="822" spans="1:4" x14ac:dyDescent="0.25">
      <c r="A822" t="s">
        <v>1287</v>
      </c>
      <c r="B822" t="s">
        <v>1286</v>
      </c>
      <c r="C822" s="69">
        <v>43876</v>
      </c>
      <c r="D822" s="28">
        <v>10801.37</v>
      </c>
    </row>
    <row r="823" spans="1:4" x14ac:dyDescent="0.25">
      <c r="A823" t="s">
        <v>279</v>
      </c>
      <c r="B823" t="s">
        <v>669</v>
      </c>
      <c r="C823" s="69">
        <v>43877</v>
      </c>
      <c r="D823" s="28">
        <v>1300</v>
      </c>
    </row>
    <row r="824" spans="1:4" x14ac:dyDescent="0.25">
      <c r="A824" t="s">
        <v>482</v>
      </c>
      <c r="B824" t="s">
        <v>483</v>
      </c>
      <c r="C824" s="69">
        <v>43877</v>
      </c>
      <c r="D824" s="28">
        <v>1717.117</v>
      </c>
    </row>
    <row r="825" spans="1:4" x14ac:dyDescent="0.25">
      <c r="A825" t="s">
        <v>511</v>
      </c>
      <c r="B825" t="s">
        <v>512</v>
      </c>
      <c r="C825" s="69">
        <v>43878</v>
      </c>
      <c r="D825" s="28">
        <v>2500</v>
      </c>
    </row>
    <row r="826" spans="1:4" x14ac:dyDescent="0.25">
      <c r="A826" t="s">
        <v>274</v>
      </c>
      <c r="B826" t="s">
        <v>665</v>
      </c>
      <c r="C826" s="69">
        <v>43878</v>
      </c>
      <c r="D826" s="28">
        <v>3000</v>
      </c>
    </row>
    <row r="827" spans="1:4" x14ac:dyDescent="0.25">
      <c r="A827" t="s">
        <v>270</v>
      </c>
      <c r="B827" t="s">
        <v>666</v>
      </c>
      <c r="C827" s="69">
        <v>43878</v>
      </c>
      <c r="D827" s="28">
        <v>2091.4499999999998</v>
      </c>
    </row>
    <row r="828" spans="1:4" x14ac:dyDescent="0.25">
      <c r="A828" t="s">
        <v>408</v>
      </c>
      <c r="B828" t="s">
        <v>409</v>
      </c>
      <c r="C828" s="69">
        <v>43878</v>
      </c>
      <c r="D828" s="28">
        <v>1985</v>
      </c>
    </row>
    <row r="829" spans="1:4" x14ac:dyDescent="0.25">
      <c r="A829" t="s">
        <v>336</v>
      </c>
      <c r="B829" t="s">
        <v>337</v>
      </c>
      <c r="C829" s="69">
        <v>43878</v>
      </c>
      <c r="D829" s="28">
        <v>3500</v>
      </c>
    </row>
    <row r="830" spans="1:4" x14ac:dyDescent="0.25">
      <c r="A830" t="s">
        <v>566</v>
      </c>
      <c r="B830" t="s">
        <v>565</v>
      </c>
      <c r="C830" s="69">
        <v>43878</v>
      </c>
      <c r="D830" s="28">
        <v>5520.942</v>
      </c>
    </row>
    <row r="831" spans="1:4" x14ac:dyDescent="0.25">
      <c r="A831" t="s">
        <v>758</v>
      </c>
      <c r="B831" t="s">
        <v>757</v>
      </c>
      <c r="C831" s="69">
        <v>43878</v>
      </c>
      <c r="D831" s="28">
        <v>684.52099999999996</v>
      </c>
    </row>
    <row r="832" spans="1:4" x14ac:dyDescent="0.25">
      <c r="A832" t="s">
        <v>758</v>
      </c>
      <c r="B832" t="s">
        <v>757</v>
      </c>
      <c r="C832" s="69">
        <v>43878</v>
      </c>
      <c r="D832" s="28">
        <v>800</v>
      </c>
    </row>
    <row r="833" spans="1:4" x14ac:dyDescent="0.25">
      <c r="A833" t="s">
        <v>282</v>
      </c>
      <c r="B833" t="s">
        <v>283</v>
      </c>
      <c r="C833" s="69">
        <v>43879</v>
      </c>
      <c r="D833" s="28">
        <v>504.678</v>
      </c>
    </row>
    <row r="834" spans="1:4" x14ac:dyDescent="0.25">
      <c r="A834" t="s">
        <v>304</v>
      </c>
      <c r="B834" t="s">
        <v>305</v>
      </c>
      <c r="C834" s="69">
        <v>43879</v>
      </c>
      <c r="D834" s="28">
        <v>620.5</v>
      </c>
    </row>
    <row r="835" spans="1:4" x14ac:dyDescent="0.25">
      <c r="A835" t="s">
        <v>277</v>
      </c>
      <c r="B835" t="s">
        <v>278</v>
      </c>
      <c r="C835" s="69">
        <v>43879</v>
      </c>
      <c r="D835" s="28">
        <v>845</v>
      </c>
    </row>
    <row r="836" spans="1:4" x14ac:dyDescent="0.25">
      <c r="A836" t="s">
        <v>292</v>
      </c>
      <c r="B836" t="s">
        <v>293</v>
      </c>
      <c r="C836" s="69">
        <v>43879</v>
      </c>
      <c r="D836" s="28">
        <v>1629.038</v>
      </c>
    </row>
    <row r="837" spans="1:4" x14ac:dyDescent="0.25">
      <c r="A837" t="s">
        <v>334</v>
      </c>
      <c r="B837" t="s">
        <v>335</v>
      </c>
      <c r="C837" s="69">
        <v>43879</v>
      </c>
      <c r="D837" s="28">
        <v>1076.0989999999999</v>
      </c>
    </row>
    <row r="838" spans="1:4" x14ac:dyDescent="0.25">
      <c r="A838" t="s">
        <v>428</v>
      </c>
      <c r="B838" t="s">
        <v>429</v>
      </c>
      <c r="C838" s="69">
        <v>43879</v>
      </c>
      <c r="D838" s="28">
        <v>1500</v>
      </c>
    </row>
    <row r="839" spans="1:4" x14ac:dyDescent="0.25">
      <c r="A839" t="s">
        <v>303</v>
      </c>
      <c r="B839" t="s">
        <v>670</v>
      </c>
      <c r="C839" s="69">
        <v>43879</v>
      </c>
      <c r="D839" s="28">
        <v>1650</v>
      </c>
    </row>
    <row r="840" spans="1:4" x14ac:dyDescent="0.25">
      <c r="A840" t="s">
        <v>511</v>
      </c>
      <c r="B840" t="s">
        <v>512</v>
      </c>
      <c r="C840" s="69">
        <v>43880</v>
      </c>
      <c r="D840" s="28">
        <v>3316.51</v>
      </c>
    </row>
    <row r="841" spans="1:4" x14ac:dyDescent="0.25">
      <c r="A841" t="s">
        <v>875</v>
      </c>
      <c r="B841" t="s">
        <v>772</v>
      </c>
      <c r="C841" s="69">
        <v>43881</v>
      </c>
      <c r="D841" s="28">
        <v>1020</v>
      </c>
    </row>
    <row r="842" spans="1:4" x14ac:dyDescent="0.25">
      <c r="A842" t="s">
        <v>875</v>
      </c>
      <c r="B842" t="s">
        <v>772</v>
      </c>
      <c r="C842" s="69">
        <v>43881</v>
      </c>
      <c r="D842" s="28">
        <v>1020</v>
      </c>
    </row>
    <row r="843" spans="1:4" x14ac:dyDescent="0.25">
      <c r="A843" t="s">
        <v>875</v>
      </c>
      <c r="B843" t="s">
        <v>772</v>
      </c>
      <c r="C843" s="69">
        <v>43881</v>
      </c>
      <c r="D843" s="28">
        <v>1020</v>
      </c>
    </row>
    <row r="844" spans="1:4" x14ac:dyDescent="0.25">
      <c r="A844" t="s">
        <v>502</v>
      </c>
      <c r="B844" t="s">
        <v>507</v>
      </c>
      <c r="C844" s="69">
        <v>43881</v>
      </c>
      <c r="D844" s="28">
        <v>2000</v>
      </c>
    </row>
    <row r="845" spans="1:4" x14ac:dyDescent="0.25">
      <c r="A845" t="s">
        <v>332</v>
      </c>
      <c r="B845" t="s">
        <v>333</v>
      </c>
      <c r="C845" s="69">
        <v>43881</v>
      </c>
      <c r="D845" s="28">
        <v>1000</v>
      </c>
    </row>
    <row r="846" spans="1:4" x14ac:dyDescent="0.25">
      <c r="A846" t="s">
        <v>274</v>
      </c>
      <c r="B846" t="s">
        <v>665</v>
      </c>
      <c r="C846" s="69">
        <v>43881</v>
      </c>
      <c r="D846" s="28">
        <v>3000</v>
      </c>
    </row>
    <row r="847" spans="1:4" x14ac:dyDescent="0.25">
      <c r="A847" t="s">
        <v>312</v>
      </c>
      <c r="B847" t="s">
        <v>313</v>
      </c>
      <c r="C847" s="69">
        <v>43881</v>
      </c>
      <c r="D847" s="28">
        <v>1070</v>
      </c>
    </row>
    <row r="848" spans="1:4" x14ac:dyDescent="0.25">
      <c r="A848" t="s">
        <v>791</v>
      </c>
      <c r="B848" t="s">
        <v>803</v>
      </c>
      <c r="C848" s="69">
        <v>43881</v>
      </c>
      <c r="D848" s="28">
        <v>2500</v>
      </c>
    </row>
    <row r="849" spans="1:6" x14ac:dyDescent="0.25">
      <c r="A849" t="s">
        <v>729</v>
      </c>
      <c r="B849" t="s">
        <v>384</v>
      </c>
      <c r="C849" s="69">
        <v>43881</v>
      </c>
      <c r="D849" s="28">
        <v>1518.5609999999999</v>
      </c>
    </row>
    <row r="850" spans="1:6" x14ac:dyDescent="0.25">
      <c r="A850" t="s">
        <v>326</v>
      </c>
      <c r="B850" t="s">
        <v>295</v>
      </c>
      <c r="C850" s="69">
        <v>43881</v>
      </c>
      <c r="D850" s="28">
        <v>680</v>
      </c>
    </row>
    <row r="851" spans="1:6" x14ac:dyDescent="0.25">
      <c r="A851" t="s">
        <v>294</v>
      </c>
      <c r="B851" t="s">
        <v>295</v>
      </c>
      <c r="C851" s="69">
        <v>43881</v>
      </c>
      <c r="D851" s="28">
        <v>500</v>
      </c>
    </row>
    <row r="852" spans="1:6" x14ac:dyDescent="0.25">
      <c r="A852" t="s">
        <v>444</v>
      </c>
      <c r="B852" t="s">
        <v>316</v>
      </c>
      <c r="C852" s="69">
        <v>43881</v>
      </c>
      <c r="D852" s="28">
        <v>1203.8399999999999</v>
      </c>
    </row>
    <row r="853" spans="1:6" x14ac:dyDescent="0.25">
      <c r="A853" t="s">
        <v>879</v>
      </c>
      <c r="B853" t="s">
        <v>366</v>
      </c>
      <c r="C853" s="69">
        <v>43881</v>
      </c>
      <c r="D853" s="28">
        <v>1965.2639999999999</v>
      </c>
    </row>
    <row r="854" spans="1:6" x14ac:dyDescent="0.25">
      <c r="A854" t="s">
        <v>1160</v>
      </c>
      <c r="B854" t="s">
        <v>324</v>
      </c>
      <c r="C854" s="69">
        <v>43881</v>
      </c>
      <c r="D854" s="28">
        <v>1626.96</v>
      </c>
    </row>
    <row r="855" spans="1:6" x14ac:dyDescent="0.25">
      <c r="A855" t="s">
        <v>616</v>
      </c>
      <c r="B855" t="s">
        <v>576</v>
      </c>
      <c r="C855" s="69">
        <v>43881</v>
      </c>
      <c r="D855" s="28">
        <v>524.76199999999994</v>
      </c>
    </row>
    <row r="856" spans="1:6" x14ac:dyDescent="0.25">
      <c r="A856" t="s">
        <v>1243</v>
      </c>
      <c r="B856" t="s">
        <v>940</v>
      </c>
      <c r="C856" s="69">
        <v>43881</v>
      </c>
      <c r="D856" s="28">
        <v>2592.4989999999998</v>
      </c>
    </row>
    <row r="857" spans="1:6" x14ac:dyDescent="0.25">
      <c r="A857" t="s">
        <v>1055</v>
      </c>
      <c r="B857" t="s">
        <v>325</v>
      </c>
      <c r="C857" s="69">
        <v>43881</v>
      </c>
      <c r="D857" s="28">
        <v>3454.8</v>
      </c>
    </row>
    <row r="858" spans="1:6" s="730" customFormat="1" x14ac:dyDescent="0.25">
      <c r="A858" t="s">
        <v>347</v>
      </c>
      <c r="B858" t="s">
        <v>348</v>
      </c>
      <c r="C858" s="69">
        <v>43881</v>
      </c>
      <c r="D858" s="28">
        <v>5000</v>
      </c>
      <c r="E858"/>
      <c r="F858"/>
    </row>
    <row r="859" spans="1:6" x14ac:dyDescent="0.25">
      <c r="A859" t="s">
        <v>778</v>
      </c>
      <c r="B859" t="s">
        <v>793</v>
      </c>
      <c r="C859" s="69">
        <v>43881</v>
      </c>
      <c r="D859" s="28">
        <v>160.566</v>
      </c>
    </row>
    <row r="860" spans="1:6" x14ac:dyDescent="0.25">
      <c r="A860" t="s">
        <v>330</v>
      </c>
      <c r="B860" t="s">
        <v>331</v>
      </c>
      <c r="C860" s="69">
        <v>43881</v>
      </c>
      <c r="D860" s="28">
        <v>2200</v>
      </c>
    </row>
    <row r="861" spans="1:6" x14ac:dyDescent="0.25">
      <c r="A861" t="s">
        <v>297</v>
      </c>
      <c r="B861" t="s">
        <v>298</v>
      </c>
      <c r="C861" s="69">
        <v>43881</v>
      </c>
      <c r="D861" s="28">
        <v>1889.759</v>
      </c>
    </row>
    <row r="862" spans="1:6" x14ac:dyDescent="0.25">
      <c r="A862" t="s">
        <v>753</v>
      </c>
      <c r="B862" t="s">
        <v>458</v>
      </c>
      <c r="C862" s="69">
        <v>43881</v>
      </c>
      <c r="D862" s="28">
        <v>4714.223</v>
      </c>
    </row>
    <row r="863" spans="1:6" x14ac:dyDescent="0.25">
      <c r="A863" t="s">
        <v>336</v>
      </c>
      <c r="B863" t="s">
        <v>337</v>
      </c>
      <c r="C863" s="69">
        <v>43881</v>
      </c>
      <c r="D863" s="28">
        <v>3500</v>
      </c>
    </row>
    <row r="864" spans="1:6" x14ac:dyDescent="0.25">
      <c r="A864" t="s">
        <v>599</v>
      </c>
      <c r="B864" t="s">
        <v>598</v>
      </c>
      <c r="C864" s="69">
        <v>43881</v>
      </c>
      <c r="D864" s="28">
        <v>2500</v>
      </c>
    </row>
    <row r="865" spans="1:6" x14ac:dyDescent="0.25">
      <c r="A865" t="s">
        <v>328</v>
      </c>
      <c r="B865" t="s">
        <v>329</v>
      </c>
      <c r="C865" s="69">
        <v>43881</v>
      </c>
      <c r="D865" s="28">
        <v>1698</v>
      </c>
    </row>
    <row r="866" spans="1:6" x14ac:dyDescent="0.25">
      <c r="A866" t="s">
        <v>756</v>
      </c>
      <c r="B866" t="s">
        <v>344</v>
      </c>
      <c r="C866" s="69">
        <v>43881</v>
      </c>
      <c r="D866" s="28">
        <v>607.67899999999997</v>
      </c>
    </row>
    <row r="867" spans="1:6" x14ac:dyDescent="0.25">
      <c r="A867" t="s">
        <v>299</v>
      </c>
      <c r="B867" t="s">
        <v>300</v>
      </c>
      <c r="C867" s="69">
        <v>43881</v>
      </c>
      <c r="D867" s="28">
        <v>2272.9</v>
      </c>
    </row>
    <row r="868" spans="1:6" x14ac:dyDescent="0.25">
      <c r="A868" t="s">
        <v>357</v>
      </c>
      <c r="B868" t="s">
        <v>358</v>
      </c>
      <c r="C868" s="69">
        <v>43881</v>
      </c>
      <c r="D868" s="28">
        <v>2810</v>
      </c>
      <c r="F868" s="730"/>
    </row>
    <row r="869" spans="1:6" x14ac:dyDescent="0.25">
      <c r="A869" t="s">
        <v>795</v>
      </c>
      <c r="B869" t="s">
        <v>805</v>
      </c>
      <c r="C869" s="69">
        <v>43881</v>
      </c>
      <c r="D869" s="28">
        <v>1900</v>
      </c>
    </row>
    <row r="870" spans="1:6" x14ac:dyDescent="0.25">
      <c r="A870" t="s">
        <v>301</v>
      </c>
      <c r="B870" t="s">
        <v>302</v>
      </c>
      <c r="C870" s="69">
        <v>43881</v>
      </c>
      <c r="D870" s="28">
        <v>2150</v>
      </c>
    </row>
    <row r="871" spans="1:6" x14ac:dyDescent="0.25">
      <c r="A871" t="s">
        <v>304</v>
      </c>
      <c r="B871" t="s">
        <v>305</v>
      </c>
      <c r="C871" s="69">
        <v>43882</v>
      </c>
      <c r="D871" s="28">
        <v>902.75</v>
      </c>
    </row>
    <row r="872" spans="1:6" x14ac:dyDescent="0.25">
      <c r="A872" t="s">
        <v>489</v>
      </c>
      <c r="B872" t="s">
        <v>403</v>
      </c>
      <c r="C872" s="69">
        <v>43882</v>
      </c>
      <c r="D872" s="28">
        <v>1291.0119999999999</v>
      </c>
    </row>
    <row r="873" spans="1:6" x14ac:dyDescent="0.25">
      <c r="A873" t="s">
        <v>425</v>
      </c>
      <c r="B873" t="s">
        <v>426</v>
      </c>
      <c r="C873" s="69">
        <v>43882</v>
      </c>
      <c r="D873" s="28">
        <v>4000</v>
      </c>
    </row>
    <row r="874" spans="1:6" x14ac:dyDescent="0.25">
      <c r="A874" t="s">
        <v>349</v>
      </c>
      <c r="B874" t="s">
        <v>350</v>
      </c>
      <c r="C874" s="69">
        <v>43882</v>
      </c>
      <c r="D874" s="28">
        <v>1500</v>
      </c>
    </row>
    <row r="875" spans="1:6" x14ac:dyDescent="0.25">
      <c r="A875" t="s">
        <v>441</v>
      </c>
      <c r="B875" t="s">
        <v>442</v>
      </c>
      <c r="C875" s="69">
        <v>43883</v>
      </c>
      <c r="D875" s="28">
        <v>2210.1529999999998</v>
      </c>
    </row>
    <row r="876" spans="1:6" x14ac:dyDescent="0.25">
      <c r="A876" t="s">
        <v>428</v>
      </c>
      <c r="B876" t="s">
        <v>429</v>
      </c>
      <c r="C876" s="69">
        <v>43883</v>
      </c>
      <c r="D876" s="28">
        <v>1500</v>
      </c>
    </row>
    <row r="877" spans="1:6" x14ac:dyDescent="0.25">
      <c r="A877" t="s">
        <v>1177</v>
      </c>
      <c r="B877" t="s">
        <v>1176</v>
      </c>
      <c r="C877" s="69">
        <v>43883</v>
      </c>
      <c r="D877" s="28">
        <v>1000</v>
      </c>
    </row>
    <row r="878" spans="1:6" x14ac:dyDescent="0.25">
      <c r="A878" t="s">
        <v>731</v>
      </c>
      <c r="B878" t="s">
        <v>340</v>
      </c>
      <c r="C878" s="69">
        <v>43884</v>
      </c>
      <c r="D878" s="28">
        <v>1280</v>
      </c>
    </row>
    <row r="879" spans="1:6" x14ac:dyDescent="0.25">
      <c r="A879" t="s">
        <v>1033</v>
      </c>
      <c r="B879" t="s">
        <v>359</v>
      </c>
      <c r="C879" s="69">
        <v>43884</v>
      </c>
      <c r="D879" s="28">
        <v>1087</v>
      </c>
    </row>
    <row r="880" spans="1:6" x14ac:dyDescent="0.25">
      <c r="A880" t="s">
        <v>408</v>
      </c>
      <c r="B880" t="s">
        <v>409</v>
      </c>
      <c r="C880" s="69">
        <v>43884</v>
      </c>
      <c r="D880" s="28">
        <v>1985</v>
      </c>
    </row>
    <row r="881" spans="1:4" x14ac:dyDescent="0.25">
      <c r="A881" t="s">
        <v>336</v>
      </c>
      <c r="B881" t="s">
        <v>337</v>
      </c>
      <c r="C881" s="69">
        <v>43885</v>
      </c>
      <c r="D881" s="28">
        <v>3500</v>
      </c>
    </row>
    <row r="882" spans="1:4" x14ac:dyDescent="0.25">
      <c r="A882" t="s">
        <v>758</v>
      </c>
      <c r="B882" t="s">
        <v>757</v>
      </c>
      <c r="C882" s="69">
        <v>43885</v>
      </c>
      <c r="D882" s="28">
        <v>684.52099999999996</v>
      </c>
    </row>
    <row r="883" spans="1:4" x14ac:dyDescent="0.25">
      <c r="A883" t="s">
        <v>758</v>
      </c>
      <c r="B883" t="s">
        <v>757</v>
      </c>
      <c r="C883" s="69">
        <v>43885</v>
      </c>
      <c r="D883" s="28">
        <v>800</v>
      </c>
    </row>
    <row r="884" spans="1:4" x14ac:dyDescent="0.25">
      <c r="A884" t="s">
        <v>511</v>
      </c>
      <c r="B884" t="s">
        <v>512</v>
      </c>
      <c r="C884" s="69">
        <v>43886</v>
      </c>
      <c r="D884" s="28">
        <v>3400</v>
      </c>
    </row>
    <row r="885" spans="1:4" x14ac:dyDescent="0.25">
      <c r="A885" t="s">
        <v>875</v>
      </c>
      <c r="B885" t="s">
        <v>772</v>
      </c>
      <c r="C885" s="69">
        <v>43886</v>
      </c>
      <c r="D885" s="28">
        <v>1044.0889999999999</v>
      </c>
    </row>
    <row r="886" spans="1:4" x14ac:dyDescent="0.25">
      <c r="A886" t="s">
        <v>875</v>
      </c>
      <c r="B886" t="s">
        <v>772</v>
      </c>
      <c r="C886" s="69">
        <v>43886</v>
      </c>
      <c r="D886" s="28">
        <v>1020</v>
      </c>
    </row>
    <row r="887" spans="1:4" x14ac:dyDescent="0.25">
      <c r="A887" t="s">
        <v>875</v>
      </c>
      <c r="B887" t="s">
        <v>772</v>
      </c>
      <c r="C887" s="69">
        <v>43886</v>
      </c>
      <c r="D887" s="28">
        <v>1020</v>
      </c>
    </row>
    <row r="888" spans="1:4" x14ac:dyDescent="0.25">
      <c r="A888" t="s">
        <v>304</v>
      </c>
      <c r="B888" t="s">
        <v>305</v>
      </c>
      <c r="C888" s="69">
        <v>43886</v>
      </c>
      <c r="D888" s="28">
        <v>620.5</v>
      </c>
    </row>
    <row r="889" spans="1:4" x14ac:dyDescent="0.25">
      <c r="A889" t="s">
        <v>312</v>
      </c>
      <c r="B889" t="s">
        <v>313</v>
      </c>
      <c r="C889" s="69">
        <v>43886</v>
      </c>
      <c r="D889" s="28">
        <v>1080</v>
      </c>
    </row>
    <row r="890" spans="1:4" x14ac:dyDescent="0.25">
      <c r="A890" t="s">
        <v>1038</v>
      </c>
      <c r="B890" t="s">
        <v>481</v>
      </c>
      <c r="C890" s="69">
        <v>43886</v>
      </c>
      <c r="D890" s="28">
        <v>2000</v>
      </c>
    </row>
    <row r="891" spans="1:4" x14ac:dyDescent="0.25">
      <c r="A891" t="s">
        <v>500</v>
      </c>
      <c r="B891" t="s">
        <v>501</v>
      </c>
      <c r="C891" s="69">
        <v>43886</v>
      </c>
      <c r="D891" s="28">
        <v>1043.9649999999999</v>
      </c>
    </row>
    <row r="892" spans="1:4" x14ac:dyDescent="0.25">
      <c r="A892" t="s">
        <v>905</v>
      </c>
      <c r="B892" t="s">
        <v>938</v>
      </c>
      <c r="C892" s="69">
        <v>43886</v>
      </c>
      <c r="D892" s="28">
        <v>1000</v>
      </c>
    </row>
    <row r="893" spans="1:4" x14ac:dyDescent="0.25">
      <c r="A893" t="s">
        <v>277</v>
      </c>
      <c r="B893" t="s">
        <v>278</v>
      </c>
      <c r="C893" s="69">
        <v>43886</v>
      </c>
      <c r="D893" s="28">
        <v>845</v>
      </c>
    </row>
    <row r="894" spans="1:4" x14ac:dyDescent="0.25">
      <c r="A894" t="s">
        <v>326</v>
      </c>
      <c r="B894" t="s">
        <v>295</v>
      </c>
      <c r="C894" s="69">
        <v>43886</v>
      </c>
      <c r="D894" s="28">
        <v>1000</v>
      </c>
    </row>
    <row r="895" spans="1:4" x14ac:dyDescent="0.25">
      <c r="A895" t="s">
        <v>731</v>
      </c>
      <c r="B895" t="s">
        <v>340</v>
      </c>
      <c r="C895" s="69">
        <v>43886</v>
      </c>
      <c r="D895" s="28">
        <v>1290</v>
      </c>
    </row>
    <row r="896" spans="1:4" x14ac:dyDescent="0.25">
      <c r="A896" t="s">
        <v>925</v>
      </c>
      <c r="B896" t="s">
        <v>664</v>
      </c>
      <c r="C896" s="69">
        <v>43886</v>
      </c>
      <c r="D896" s="28">
        <v>5360.7120000000004</v>
      </c>
    </row>
    <row r="897" spans="1:4" x14ac:dyDescent="0.25">
      <c r="A897" t="s">
        <v>444</v>
      </c>
      <c r="B897" t="s">
        <v>316</v>
      </c>
      <c r="C897" s="69">
        <v>43886</v>
      </c>
      <c r="D897" s="28">
        <v>1203.8399999999999</v>
      </c>
    </row>
    <row r="898" spans="1:4" x14ac:dyDescent="0.25">
      <c r="A898" t="s">
        <v>1037</v>
      </c>
      <c r="B898" t="s">
        <v>471</v>
      </c>
      <c r="C898" s="69">
        <v>43886</v>
      </c>
      <c r="D898" s="28">
        <v>1325.3779999999999</v>
      </c>
    </row>
    <row r="899" spans="1:4" x14ac:dyDescent="0.25">
      <c r="A899" t="s">
        <v>294</v>
      </c>
      <c r="B899" t="s">
        <v>295</v>
      </c>
      <c r="C899" s="69">
        <v>43886</v>
      </c>
      <c r="D899" s="28">
        <v>2000</v>
      </c>
    </row>
    <row r="900" spans="1:4" x14ac:dyDescent="0.25">
      <c r="A900" t="s">
        <v>934</v>
      </c>
      <c r="B900" t="s">
        <v>341</v>
      </c>
      <c r="C900" s="69">
        <v>43886</v>
      </c>
      <c r="D900" s="28">
        <v>2682.7809999999999</v>
      </c>
    </row>
    <row r="901" spans="1:4" x14ac:dyDescent="0.25">
      <c r="A901" t="s">
        <v>740</v>
      </c>
      <c r="B901" t="s">
        <v>323</v>
      </c>
      <c r="C901" s="69">
        <v>43886</v>
      </c>
      <c r="D901" s="28">
        <v>2009.979</v>
      </c>
    </row>
    <row r="902" spans="1:4" x14ac:dyDescent="0.25">
      <c r="A902" t="s">
        <v>1175</v>
      </c>
      <c r="B902" t="s">
        <v>503</v>
      </c>
      <c r="C902" s="69">
        <v>43886</v>
      </c>
      <c r="D902" s="28">
        <v>900</v>
      </c>
    </row>
    <row r="903" spans="1:4" x14ac:dyDescent="0.25">
      <c r="A903" t="s">
        <v>1174</v>
      </c>
      <c r="B903" t="s">
        <v>288</v>
      </c>
      <c r="C903" s="69">
        <v>43886</v>
      </c>
      <c r="D903" s="28">
        <v>2164.9430000000002</v>
      </c>
    </row>
    <row r="904" spans="1:4" x14ac:dyDescent="0.25">
      <c r="A904" t="s">
        <v>1245</v>
      </c>
      <c r="B904" t="s">
        <v>819</v>
      </c>
      <c r="C904" s="69">
        <v>43886</v>
      </c>
      <c r="D904" s="28">
        <v>550</v>
      </c>
    </row>
    <row r="905" spans="1:4" x14ac:dyDescent="0.25">
      <c r="A905" t="s">
        <v>815</v>
      </c>
      <c r="B905" t="s">
        <v>814</v>
      </c>
      <c r="C905" s="69">
        <v>43886</v>
      </c>
      <c r="D905" s="28">
        <v>1185.69</v>
      </c>
    </row>
    <row r="906" spans="1:4" x14ac:dyDescent="0.25">
      <c r="A906" t="s">
        <v>1285</v>
      </c>
      <c r="B906" t="s">
        <v>1284</v>
      </c>
      <c r="C906" s="69">
        <v>43886</v>
      </c>
      <c r="D906" s="28">
        <v>1172.0419999999999</v>
      </c>
    </row>
    <row r="907" spans="1:4" x14ac:dyDescent="0.25">
      <c r="A907" t="s">
        <v>1339</v>
      </c>
      <c r="B907" t="s">
        <v>563</v>
      </c>
      <c r="C907" s="69">
        <v>43886</v>
      </c>
      <c r="D907" s="28">
        <v>9808.9760000000006</v>
      </c>
    </row>
    <row r="908" spans="1:4" x14ac:dyDescent="0.25">
      <c r="A908" t="s">
        <v>978</v>
      </c>
      <c r="B908" t="s">
        <v>401</v>
      </c>
      <c r="C908" s="69">
        <v>43886</v>
      </c>
      <c r="D908" s="28">
        <v>1480.489</v>
      </c>
    </row>
    <row r="909" spans="1:4" x14ac:dyDescent="0.25">
      <c r="A909" t="s">
        <v>1348</v>
      </c>
      <c r="B909" t="s">
        <v>1158</v>
      </c>
      <c r="C909" s="69">
        <v>43886</v>
      </c>
      <c r="D909" s="28">
        <v>2339.0300000000002</v>
      </c>
    </row>
    <row r="910" spans="1:4" x14ac:dyDescent="0.25">
      <c r="A910" t="s">
        <v>377</v>
      </c>
      <c r="B910" t="s">
        <v>678</v>
      </c>
      <c r="C910" s="69">
        <v>43886</v>
      </c>
      <c r="D910" s="28">
        <v>3000</v>
      </c>
    </row>
    <row r="911" spans="1:4" x14ac:dyDescent="0.25">
      <c r="A911" t="s">
        <v>425</v>
      </c>
      <c r="B911" t="s">
        <v>426</v>
      </c>
      <c r="C911" s="69">
        <v>43886</v>
      </c>
      <c r="D911" s="28">
        <v>4000</v>
      </c>
    </row>
    <row r="912" spans="1:4" x14ac:dyDescent="0.25">
      <c r="A912" t="s">
        <v>342</v>
      </c>
      <c r="B912" t="s">
        <v>343</v>
      </c>
      <c r="C912" s="69">
        <v>43886</v>
      </c>
      <c r="D912" s="28">
        <v>2400</v>
      </c>
    </row>
    <row r="913" spans="1:4" x14ac:dyDescent="0.25">
      <c r="A913" t="s">
        <v>560</v>
      </c>
      <c r="B913" t="s">
        <v>449</v>
      </c>
      <c r="C913" s="69">
        <v>43886</v>
      </c>
      <c r="D913" s="28">
        <v>2248.7150000000001</v>
      </c>
    </row>
    <row r="914" spans="1:4" x14ac:dyDescent="0.25">
      <c r="A914" t="s">
        <v>328</v>
      </c>
      <c r="B914" t="s">
        <v>329</v>
      </c>
      <c r="C914" s="69">
        <v>43886</v>
      </c>
      <c r="D914" s="28">
        <v>1698</v>
      </c>
    </row>
    <row r="915" spans="1:4" x14ac:dyDescent="0.25">
      <c r="A915" t="s">
        <v>566</v>
      </c>
      <c r="B915" t="s">
        <v>565</v>
      </c>
      <c r="C915" s="69">
        <v>43886</v>
      </c>
      <c r="D915" s="28">
        <v>6000</v>
      </c>
    </row>
    <row r="916" spans="1:4" x14ac:dyDescent="0.25">
      <c r="A916" t="s">
        <v>301</v>
      </c>
      <c r="B916" t="s">
        <v>302</v>
      </c>
      <c r="C916" s="69">
        <v>43886</v>
      </c>
      <c r="D916" s="28">
        <v>2150</v>
      </c>
    </row>
    <row r="917" spans="1:4" x14ac:dyDescent="0.25">
      <c r="A917" t="s">
        <v>303</v>
      </c>
      <c r="B917" t="s">
        <v>670</v>
      </c>
      <c r="C917" s="69">
        <v>43886</v>
      </c>
      <c r="D917" s="28">
        <v>1703.37</v>
      </c>
    </row>
    <row r="918" spans="1:4" x14ac:dyDescent="0.25">
      <c r="A918" t="s">
        <v>967</v>
      </c>
      <c r="B918" t="s">
        <v>966</v>
      </c>
      <c r="C918" s="69">
        <v>43886</v>
      </c>
      <c r="D918" s="28">
        <v>1375.586</v>
      </c>
    </row>
    <row r="919" spans="1:4" x14ac:dyDescent="0.25">
      <c r="A919" t="s">
        <v>279</v>
      </c>
      <c r="B919" t="s">
        <v>669</v>
      </c>
      <c r="C919" s="69">
        <v>43887</v>
      </c>
      <c r="D919" s="28">
        <v>1367.835</v>
      </c>
    </row>
    <row r="920" spans="1:4" x14ac:dyDescent="0.25">
      <c r="A920" t="s">
        <v>274</v>
      </c>
      <c r="B920" t="s">
        <v>665</v>
      </c>
      <c r="C920" s="69">
        <v>43887</v>
      </c>
      <c r="D920" s="28">
        <v>3000</v>
      </c>
    </row>
    <row r="921" spans="1:4" x14ac:dyDescent="0.25">
      <c r="A921" t="s">
        <v>848</v>
      </c>
      <c r="B921" t="s">
        <v>847</v>
      </c>
      <c r="C921" s="69">
        <v>43887</v>
      </c>
      <c r="D921" s="28">
        <v>4854.5619999999999</v>
      </c>
    </row>
    <row r="922" spans="1:4" x14ac:dyDescent="0.25">
      <c r="A922" t="s">
        <v>292</v>
      </c>
      <c r="B922" t="s">
        <v>293</v>
      </c>
      <c r="C922" s="69">
        <v>43887</v>
      </c>
      <c r="D922" s="28">
        <v>1629.037</v>
      </c>
    </row>
    <row r="923" spans="1:4" x14ac:dyDescent="0.25">
      <c r="A923" t="s">
        <v>947</v>
      </c>
      <c r="B923" t="s">
        <v>356</v>
      </c>
      <c r="C923" s="69">
        <v>43887</v>
      </c>
      <c r="D923" s="28">
        <v>4411.1319999999996</v>
      </c>
    </row>
    <row r="924" spans="1:4" x14ac:dyDescent="0.25">
      <c r="A924" t="s">
        <v>357</v>
      </c>
      <c r="B924" t="s">
        <v>358</v>
      </c>
      <c r="C924" s="69">
        <v>43887</v>
      </c>
      <c r="D924" s="28">
        <v>2820</v>
      </c>
    </row>
    <row r="925" spans="1:4" x14ac:dyDescent="0.25">
      <c r="A925" t="s">
        <v>428</v>
      </c>
      <c r="B925" t="s">
        <v>429</v>
      </c>
      <c r="C925" s="69">
        <v>43887</v>
      </c>
      <c r="D925" s="28">
        <v>1500</v>
      </c>
    </row>
    <row r="926" spans="1:4" x14ac:dyDescent="0.25">
      <c r="A926" t="s">
        <v>443</v>
      </c>
      <c r="B926" t="s">
        <v>676</v>
      </c>
      <c r="C926" s="69">
        <v>43888</v>
      </c>
      <c r="D926" s="28">
        <v>2000</v>
      </c>
    </row>
    <row r="927" spans="1:4" x14ac:dyDescent="0.25">
      <c r="A927" t="s">
        <v>617</v>
      </c>
      <c r="B927" t="s">
        <v>620</v>
      </c>
      <c r="C927" s="69">
        <v>43888</v>
      </c>
      <c r="D927" s="28">
        <v>1077.31</v>
      </c>
    </row>
    <row r="928" spans="1:4" x14ac:dyDescent="0.25">
      <c r="A928" t="s">
        <v>731</v>
      </c>
      <c r="B928" t="s">
        <v>340</v>
      </c>
      <c r="C928" s="69">
        <v>43888</v>
      </c>
      <c r="D928" s="28">
        <v>1300</v>
      </c>
    </row>
    <row r="929" spans="1:5" x14ac:dyDescent="0.25">
      <c r="A929" t="s">
        <v>1173</v>
      </c>
      <c r="B929" t="s">
        <v>448</v>
      </c>
      <c r="C929" s="69">
        <v>43888</v>
      </c>
      <c r="D929" s="28">
        <v>7926.3389999999999</v>
      </c>
    </row>
    <row r="930" spans="1:5" x14ac:dyDescent="0.25">
      <c r="A930" t="s">
        <v>1243</v>
      </c>
      <c r="B930" t="s">
        <v>940</v>
      </c>
      <c r="C930" s="69">
        <v>43888</v>
      </c>
      <c r="D930" s="28">
        <v>2592.4989999999998</v>
      </c>
    </row>
    <row r="931" spans="1:5" x14ac:dyDescent="0.25">
      <c r="A931" t="s">
        <v>317</v>
      </c>
      <c r="B931" t="s">
        <v>318</v>
      </c>
      <c r="C931" s="69">
        <v>43888</v>
      </c>
      <c r="D931" s="28">
        <v>980</v>
      </c>
      <c r="E931" s="730"/>
    </row>
    <row r="932" spans="1:5" x14ac:dyDescent="0.25">
      <c r="A932" t="s">
        <v>351</v>
      </c>
      <c r="B932" t="s">
        <v>352</v>
      </c>
      <c r="C932" s="69">
        <v>43888</v>
      </c>
      <c r="D932" s="28">
        <v>17861.327000000001</v>
      </c>
    </row>
    <row r="933" spans="1:5" x14ac:dyDescent="0.25">
      <c r="A933" t="s">
        <v>511</v>
      </c>
      <c r="B933" t="s">
        <v>512</v>
      </c>
      <c r="C933" s="69">
        <v>43889</v>
      </c>
      <c r="D933" s="28">
        <v>3400</v>
      </c>
    </row>
    <row r="934" spans="1:5" x14ac:dyDescent="0.25">
      <c r="A934" t="s">
        <v>421</v>
      </c>
      <c r="B934" t="s">
        <v>422</v>
      </c>
      <c r="C934" s="69">
        <v>43889</v>
      </c>
      <c r="D934" s="28">
        <v>5000</v>
      </c>
    </row>
    <row r="935" spans="1:5" x14ac:dyDescent="0.25">
      <c r="A935" t="s">
        <v>385</v>
      </c>
      <c r="B935" t="s">
        <v>386</v>
      </c>
      <c r="C935" s="69">
        <v>43889</v>
      </c>
      <c r="D935" s="28">
        <v>3716.681</v>
      </c>
    </row>
    <row r="936" spans="1:5" x14ac:dyDescent="0.25">
      <c r="A936" t="s">
        <v>304</v>
      </c>
      <c r="B936" t="s">
        <v>305</v>
      </c>
      <c r="C936" s="69">
        <v>43889</v>
      </c>
      <c r="D936" s="28">
        <v>620.66300000000001</v>
      </c>
    </row>
    <row r="937" spans="1:5" x14ac:dyDescent="0.25">
      <c r="A937" t="s">
        <v>387</v>
      </c>
      <c r="B937" t="s">
        <v>388</v>
      </c>
      <c r="C937" s="69">
        <v>43889</v>
      </c>
      <c r="D937" s="28">
        <v>2152</v>
      </c>
    </row>
    <row r="938" spans="1:5" x14ac:dyDescent="0.25">
      <c r="A938" t="s">
        <v>477</v>
      </c>
      <c r="B938" t="s">
        <v>478</v>
      </c>
      <c r="C938" s="69">
        <v>43889</v>
      </c>
      <c r="D938" s="28">
        <v>1870</v>
      </c>
    </row>
    <row r="939" spans="1:5" x14ac:dyDescent="0.25">
      <c r="A939" t="s">
        <v>332</v>
      </c>
      <c r="B939" t="s">
        <v>333</v>
      </c>
      <c r="C939" s="69">
        <v>43889</v>
      </c>
      <c r="D939" s="28">
        <v>776.66499999999996</v>
      </c>
    </row>
    <row r="940" spans="1:5" x14ac:dyDescent="0.25">
      <c r="A940" t="s">
        <v>490</v>
      </c>
      <c r="B940" t="s">
        <v>454</v>
      </c>
      <c r="C940" s="69">
        <v>43889</v>
      </c>
      <c r="D940" s="28">
        <v>1707.663</v>
      </c>
    </row>
    <row r="941" spans="1:5" x14ac:dyDescent="0.25">
      <c r="A941" t="s">
        <v>308</v>
      </c>
      <c r="B941" t="s">
        <v>309</v>
      </c>
      <c r="C941" s="69">
        <v>43889</v>
      </c>
      <c r="D941" s="28">
        <v>3100</v>
      </c>
    </row>
    <row r="942" spans="1:5" x14ac:dyDescent="0.25">
      <c r="A942" t="s">
        <v>771</v>
      </c>
      <c r="B942" t="s">
        <v>784</v>
      </c>
      <c r="C942" s="69">
        <v>43889</v>
      </c>
      <c r="D942" s="28">
        <v>3896.1840000000002</v>
      </c>
    </row>
    <row r="943" spans="1:5" x14ac:dyDescent="0.25">
      <c r="A943" t="s">
        <v>575</v>
      </c>
      <c r="B943" t="s">
        <v>476</v>
      </c>
      <c r="C943" s="69">
        <v>43889</v>
      </c>
      <c r="D943" s="28">
        <v>1232.25</v>
      </c>
    </row>
    <row r="944" spans="1:5" x14ac:dyDescent="0.25">
      <c r="A944" t="s">
        <v>460</v>
      </c>
      <c r="B944" t="s">
        <v>461</v>
      </c>
      <c r="C944" s="69">
        <v>43889</v>
      </c>
      <c r="D944" s="28">
        <v>970.54</v>
      </c>
    </row>
    <row r="945" spans="1:4" x14ac:dyDescent="0.25">
      <c r="A945" t="s">
        <v>612</v>
      </c>
      <c r="B945" t="s">
        <v>611</v>
      </c>
      <c r="C945" s="69">
        <v>43889</v>
      </c>
      <c r="D945" s="28">
        <v>3833</v>
      </c>
    </row>
    <row r="946" spans="1:4" x14ac:dyDescent="0.25">
      <c r="A946" t="s">
        <v>559</v>
      </c>
      <c r="B946" t="s">
        <v>558</v>
      </c>
      <c r="C946" s="69">
        <v>43889</v>
      </c>
      <c r="D946" s="28">
        <v>5926.2780000000002</v>
      </c>
    </row>
    <row r="947" spans="1:4" x14ac:dyDescent="0.25">
      <c r="A947" t="s">
        <v>791</v>
      </c>
      <c r="B947" t="s">
        <v>803</v>
      </c>
      <c r="C947" s="69">
        <v>43889</v>
      </c>
      <c r="D947" s="28">
        <v>3159.8739999999998</v>
      </c>
    </row>
    <row r="948" spans="1:4" x14ac:dyDescent="0.25">
      <c r="A948" t="s">
        <v>631</v>
      </c>
      <c r="B948" t="s">
        <v>632</v>
      </c>
      <c r="C948" s="69">
        <v>43889</v>
      </c>
      <c r="D948" s="28">
        <v>2932.413</v>
      </c>
    </row>
    <row r="949" spans="1:4" x14ac:dyDescent="0.25">
      <c r="A949" t="s">
        <v>378</v>
      </c>
      <c r="B949" t="s">
        <v>379</v>
      </c>
      <c r="C949" s="69">
        <v>43889</v>
      </c>
      <c r="D949" s="28">
        <v>9287.777</v>
      </c>
    </row>
    <row r="950" spans="1:4" x14ac:dyDescent="0.25">
      <c r="A950" t="s">
        <v>854</v>
      </c>
      <c r="B950" t="s">
        <v>853</v>
      </c>
      <c r="C950" s="69">
        <v>43889</v>
      </c>
      <c r="D950" s="28">
        <v>7131.7169999999996</v>
      </c>
    </row>
    <row r="951" spans="1:4" x14ac:dyDescent="0.25">
      <c r="A951" t="s">
        <v>592</v>
      </c>
      <c r="B951" t="s">
        <v>591</v>
      </c>
      <c r="C951" s="69">
        <v>43889</v>
      </c>
      <c r="D951" s="28">
        <v>3519.2869999999998</v>
      </c>
    </row>
    <row r="952" spans="1:4" x14ac:dyDescent="0.25">
      <c r="A952" t="s">
        <v>280</v>
      </c>
      <c r="B952" t="s">
        <v>281</v>
      </c>
      <c r="C952" s="69">
        <v>43889</v>
      </c>
      <c r="D952" s="28">
        <v>3200</v>
      </c>
    </row>
    <row r="953" spans="1:4" x14ac:dyDescent="0.25">
      <c r="A953" t="s">
        <v>271</v>
      </c>
      <c r="B953" t="s">
        <v>272</v>
      </c>
      <c r="C953" s="69">
        <v>43889</v>
      </c>
      <c r="D953" s="28">
        <v>2500</v>
      </c>
    </row>
    <row r="954" spans="1:4" x14ac:dyDescent="0.25">
      <c r="A954" t="s">
        <v>306</v>
      </c>
      <c r="B954" t="s">
        <v>307</v>
      </c>
      <c r="C954" s="69">
        <v>43889</v>
      </c>
      <c r="D954" s="28">
        <v>3379.12</v>
      </c>
    </row>
    <row r="955" spans="1:4" x14ac:dyDescent="0.25">
      <c r="A955" t="s">
        <v>742</v>
      </c>
      <c r="B955" t="s">
        <v>741</v>
      </c>
      <c r="C955" s="69">
        <v>43889</v>
      </c>
      <c r="D955" s="28">
        <v>2949.808</v>
      </c>
    </row>
    <row r="956" spans="1:4" x14ac:dyDescent="0.25">
      <c r="A956" t="s">
        <v>729</v>
      </c>
      <c r="B956" t="s">
        <v>384</v>
      </c>
      <c r="C956" s="69">
        <v>43889</v>
      </c>
      <c r="D956" s="28">
        <v>1518.5609999999999</v>
      </c>
    </row>
    <row r="957" spans="1:4" x14ac:dyDescent="0.25">
      <c r="A957" t="s">
        <v>663</v>
      </c>
      <c r="B957" t="s">
        <v>290</v>
      </c>
      <c r="C957" s="69">
        <v>43889</v>
      </c>
      <c r="D957" s="28">
        <v>12853.257</v>
      </c>
    </row>
    <row r="958" spans="1:4" x14ac:dyDescent="0.25">
      <c r="A958" t="s">
        <v>731</v>
      </c>
      <c r="B958" t="s">
        <v>340</v>
      </c>
      <c r="C958" s="69">
        <v>43889</v>
      </c>
      <c r="D958" s="28">
        <v>1310</v>
      </c>
    </row>
    <row r="959" spans="1:4" x14ac:dyDescent="0.25">
      <c r="A959" t="s">
        <v>731</v>
      </c>
      <c r="B959" t="s">
        <v>340</v>
      </c>
      <c r="C959" s="69">
        <v>43889</v>
      </c>
      <c r="D959" s="28">
        <v>1320</v>
      </c>
    </row>
    <row r="960" spans="1:4" x14ac:dyDescent="0.25">
      <c r="A960" t="s">
        <v>925</v>
      </c>
      <c r="B960" t="s">
        <v>664</v>
      </c>
      <c r="C960" s="69">
        <v>43889</v>
      </c>
      <c r="D960" s="28">
        <v>5360.7120000000004</v>
      </c>
    </row>
    <row r="961" spans="1:4" x14ac:dyDescent="0.25">
      <c r="A961" t="s">
        <v>270</v>
      </c>
      <c r="B961" t="s">
        <v>666</v>
      </c>
      <c r="C961" s="69">
        <v>43889</v>
      </c>
      <c r="D961" s="28">
        <v>1650</v>
      </c>
    </row>
    <row r="962" spans="1:4" x14ac:dyDescent="0.25">
      <c r="A962" t="s">
        <v>354</v>
      </c>
      <c r="B962" t="s">
        <v>355</v>
      </c>
      <c r="C962" s="69">
        <v>43889</v>
      </c>
      <c r="D962" s="28">
        <v>3189.3820000000001</v>
      </c>
    </row>
    <row r="963" spans="1:4" x14ac:dyDescent="0.25">
      <c r="A963" t="s">
        <v>696</v>
      </c>
      <c r="B963" t="s">
        <v>286</v>
      </c>
      <c r="C963" s="69">
        <v>43889</v>
      </c>
      <c r="D963" s="28">
        <v>7000</v>
      </c>
    </row>
    <row r="964" spans="1:4" x14ac:dyDescent="0.25">
      <c r="A964" t="s">
        <v>1028</v>
      </c>
      <c r="B964" t="s">
        <v>671</v>
      </c>
      <c r="C964" s="69">
        <v>43889</v>
      </c>
      <c r="D964" s="28">
        <v>2767.17</v>
      </c>
    </row>
    <row r="965" spans="1:4" x14ac:dyDescent="0.25">
      <c r="A965" t="s">
        <v>444</v>
      </c>
      <c r="B965" t="s">
        <v>316</v>
      </c>
      <c r="C965" s="69">
        <v>43889</v>
      </c>
      <c r="D965" s="28">
        <v>1203.8399999999999</v>
      </c>
    </row>
    <row r="966" spans="1:4" x14ac:dyDescent="0.25">
      <c r="A966" t="s">
        <v>595</v>
      </c>
      <c r="B966" t="s">
        <v>485</v>
      </c>
      <c r="C966" s="69">
        <v>43889</v>
      </c>
      <c r="D966" s="28">
        <v>5208.8280000000004</v>
      </c>
    </row>
    <row r="967" spans="1:4" x14ac:dyDescent="0.25">
      <c r="A967" t="s">
        <v>487</v>
      </c>
      <c r="B967" t="s">
        <v>488</v>
      </c>
      <c r="C967" s="69">
        <v>43889</v>
      </c>
      <c r="D967" s="28">
        <v>6083.3459999999995</v>
      </c>
    </row>
    <row r="968" spans="1:4" x14ac:dyDescent="0.25">
      <c r="A968" t="s">
        <v>391</v>
      </c>
      <c r="B968" t="s">
        <v>392</v>
      </c>
      <c r="C968" s="69">
        <v>43889</v>
      </c>
      <c r="D968" s="28">
        <v>12581.495000000001</v>
      </c>
    </row>
    <row r="969" spans="1:4" x14ac:dyDescent="0.25">
      <c r="A969" t="s">
        <v>721</v>
      </c>
      <c r="B969" t="s">
        <v>462</v>
      </c>
      <c r="C969" s="69">
        <v>43889</v>
      </c>
      <c r="D969" s="28">
        <v>1117.8</v>
      </c>
    </row>
    <row r="970" spans="1:4" x14ac:dyDescent="0.25">
      <c r="A970" t="s">
        <v>859</v>
      </c>
      <c r="B970" t="s">
        <v>698</v>
      </c>
      <c r="C970" s="69">
        <v>43889</v>
      </c>
      <c r="D970" s="28">
        <v>6000</v>
      </c>
    </row>
    <row r="971" spans="1:4" x14ac:dyDescent="0.25">
      <c r="A971" t="s">
        <v>792</v>
      </c>
      <c r="B971" t="s">
        <v>371</v>
      </c>
      <c r="C971" s="69">
        <v>43889</v>
      </c>
      <c r="D971" s="28">
        <v>3650.3739999999998</v>
      </c>
    </row>
    <row r="972" spans="1:4" x14ac:dyDescent="0.25">
      <c r="A972" t="s">
        <v>1139</v>
      </c>
      <c r="B972" t="s">
        <v>843</v>
      </c>
      <c r="C972" s="69">
        <v>43889</v>
      </c>
      <c r="D972" s="28">
        <v>3272.5</v>
      </c>
    </row>
    <row r="973" spans="1:4" x14ac:dyDescent="0.25">
      <c r="A973" t="s">
        <v>993</v>
      </c>
      <c r="B973" t="s">
        <v>291</v>
      </c>
      <c r="C973" s="69">
        <v>43889</v>
      </c>
      <c r="D973" s="28">
        <v>5699.49</v>
      </c>
    </row>
    <row r="974" spans="1:4" x14ac:dyDescent="0.25">
      <c r="A974" t="s">
        <v>600</v>
      </c>
      <c r="B974" t="s">
        <v>395</v>
      </c>
      <c r="C974" s="69">
        <v>43889</v>
      </c>
      <c r="D974" s="28">
        <v>633.68100000000004</v>
      </c>
    </row>
    <row r="975" spans="1:4" x14ac:dyDescent="0.25">
      <c r="A975" t="s">
        <v>1160</v>
      </c>
      <c r="B975" t="s">
        <v>324</v>
      </c>
      <c r="C975" s="69">
        <v>43889</v>
      </c>
      <c r="D975" s="28">
        <v>1626.96</v>
      </c>
    </row>
    <row r="976" spans="1:4" x14ac:dyDescent="0.25">
      <c r="A976" t="s">
        <v>464</v>
      </c>
      <c r="B976" t="s">
        <v>465</v>
      </c>
      <c r="C976" s="69">
        <v>43889</v>
      </c>
      <c r="D976" s="28">
        <v>10776.822</v>
      </c>
    </row>
    <row r="977" spans="1:4" x14ac:dyDescent="0.25">
      <c r="A977" t="s">
        <v>736</v>
      </c>
      <c r="B977" t="s">
        <v>394</v>
      </c>
      <c r="C977" s="69">
        <v>43889</v>
      </c>
      <c r="D977" s="28">
        <v>8140.5649999999996</v>
      </c>
    </row>
    <row r="978" spans="1:4" x14ac:dyDescent="0.25">
      <c r="A978" t="s">
        <v>1171</v>
      </c>
      <c r="B978" t="s">
        <v>287</v>
      </c>
      <c r="C978" s="69">
        <v>43889</v>
      </c>
      <c r="D978" s="28">
        <v>2086.9380000000001</v>
      </c>
    </row>
    <row r="979" spans="1:4" x14ac:dyDescent="0.25">
      <c r="A979" t="s">
        <v>1170</v>
      </c>
      <c r="B979" t="s">
        <v>711</v>
      </c>
      <c r="C979" s="69">
        <v>43889</v>
      </c>
      <c r="D979" s="28">
        <v>734.34299999999996</v>
      </c>
    </row>
    <row r="980" spans="1:4" x14ac:dyDescent="0.25">
      <c r="A980" t="s">
        <v>1033</v>
      </c>
      <c r="B980" t="s">
        <v>359</v>
      </c>
      <c r="C980" s="69">
        <v>43889</v>
      </c>
      <c r="D980" s="28">
        <v>1087.028</v>
      </c>
    </row>
    <row r="981" spans="1:4" x14ac:dyDescent="0.25">
      <c r="A981" t="s">
        <v>618</v>
      </c>
      <c r="B981" t="s">
        <v>286</v>
      </c>
      <c r="C981" s="69">
        <v>43889</v>
      </c>
      <c r="D981" s="28">
        <v>5271.9440000000004</v>
      </c>
    </row>
    <row r="982" spans="1:4" x14ac:dyDescent="0.25">
      <c r="A982" t="s">
        <v>294</v>
      </c>
      <c r="B982" t="s">
        <v>295</v>
      </c>
      <c r="C982" s="69">
        <v>43889</v>
      </c>
      <c r="D982" s="28">
        <v>600</v>
      </c>
    </row>
    <row r="983" spans="1:4" x14ac:dyDescent="0.25">
      <c r="A983" t="s">
        <v>1244</v>
      </c>
      <c r="B983" t="s">
        <v>873</v>
      </c>
      <c r="C983" s="69">
        <v>43889</v>
      </c>
      <c r="D983" s="28">
        <v>965.48199999999997</v>
      </c>
    </row>
    <row r="984" spans="1:4" x14ac:dyDescent="0.25">
      <c r="A984" t="s">
        <v>882</v>
      </c>
      <c r="B984" t="s">
        <v>672</v>
      </c>
      <c r="C984" s="69">
        <v>43889</v>
      </c>
      <c r="D984" s="28">
        <v>2707.5</v>
      </c>
    </row>
    <row r="985" spans="1:4" x14ac:dyDescent="0.25">
      <c r="A985" t="s">
        <v>846</v>
      </c>
      <c r="B985" t="s">
        <v>361</v>
      </c>
      <c r="C985" s="69">
        <v>43889</v>
      </c>
      <c r="D985" s="28">
        <v>1051.5899999999999</v>
      </c>
    </row>
    <row r="986" spans="1:4" x14ac:dyDescent="0.25">
      <c r="A986" t="s">
        <v>1283</v>
      </c>
      <c r="B986" t="s">
        <v>362</v>
      </c>
      <c r="C986" s="69">
        <v>43889</v>
      </c>
      <c r="D986" s="28">
        <v>3802.2249999999999</v>
      </c>
    </row>
    <row r="987" spans="1:4" x14ac:dyDescent="0.25">
      <c r="A987" t="s">
        <v>776</v>
      </c>
      <c r="B987" t="s">
        <v>327</v>
      </c>
      <c r="C987" s="69">
        <v>43889</v>
      </c>
      <c r="D987" s="28">
        <v>2000</v>
      </c>
    </row>
    <row r="988" spans="1:4" x14ac:dyDescent="0.25">
      <c r="A988" t="s">
        <v>1282</v>
      </c>
      <c r="B988" t="s">
        <v>654</v>
      </c>
      <c r="C988" s="69">
        <v>43889</v>
      </c>
      <c r="D988" s="28">
        <v>3836.9760000000001</v>
      </c>
    </row>
    <row r="989" spans="1:4" x14ac:dyDescent="0.25">
      <c r="A989" t="s">
        <v>1281</v>
      </c>
      <c r="B989" t="s">
        <v>463</v>
      </c>
      <c r="C989" s="69">
        <v>43889</v>
      </c>
      <c r="D989" s="28">
        <v>352.75099999999998</v>
      </c>
    </row>
    <row r="990" spans="1:4" x14ac:dyDescent="0.25">
      <c r="A990" t="s">
        <v>995</v>
      </c>
      <c r="B990" t="s">
        <v>397</v>
      </c>
      <c r="C990" s="69">
        <v>43889</v>
      </c>
      <c r="D990" s="28">
        <v>3500.6280000000002</v>
      </c>
    </row>
    <row r="991" spans="1:4" x14ac:dyDescent="0.25">
      <c r="A991" t="s">
        <v>1280</v>
      </c>
      <c r="B991" t="s">
        <v>1279</v>
      </c>
      <c r="C991" s="69">
        <v>43889</v>
      </c>
      <c r="D991" s="28">
        <v>2492.558</v>
      </c>
    </row>
    <row r="992" spans="1:4" x14ac:dyDescent="0.25">
      <c r="A992" t="s">
        <v>1278</v>
      </c>
      <c r="B992" t="s">
        <v>1277</v>
      </c>
      <c r="C992" s="69">
        <v>43889</v>
      </c>
      <c r="D992" s="28">
        <v>2862.527</v>
      </c>
    </row>
    <row r="993" spans="1:6" x14ac:dyDescent="0.25">
      <c r="A993" t="s">
        <v>980</v>
      </c>
      <c r="B993" t="s">
        <v>818</v>
      </c>
      <c r="C993" s="69">
        <v>43889</v>
      </c>
      <c r="D993" s="28">
        <v>383.10500000000002</v>
      </c>
    </row>
    <row r="994" spans="1:6" x14ac:dyDescent="0.25">
      <c r="A994" t="s">
        <v>1054</v>
      </c>
      <c r="B994" t="s">
        <v>562</v>
      </c>
      <c r="C994" s="69">
        <v>43889</v>
      </c>
      <c r="D994" s="28">
        <v>1820.336</v>
      </c>
    </row>
    <row r="995" spans="1:6" x14ac:dyDescent="0.25">
      <c r="A995" t="s">
        <v>1276</v>
      </c>
      <c r="B995" t="s">
        <v>360</v>
      </c>
      <c r="C995" s="69">
        <v>43889</v>
      </c>
      <c r="D995" s="28">
        <v>2511.2020000000002</v>
      </c>
    </row>
    <row r="996" spans="1:6" x14ac:dyDescent="0.25">
      <c r="A996" t="s">
        <v>1050</v>
      </c>
      <c r="B996" t="s">
        <v>393</v>
      </c>
      <c r="C996" s="69">
        <v>43889</v>
      </c>
      <c r="D996" s="28">
        <v>1622.867</v>
      </c>
    </row>
    <row r="997" spans="1:6" x14ac:dyDescent="0.25">
      <c r="A997" t="s">
        <v>1275</v>
      </c>
      <c r="B997" t="s">
        <v>1274</v>
      </c>
      <c r="C997" s="69">
        <v>43889</v>
      </c>
      <c r="D997" s="28">
        <v>5317.9780000000001</v>
      </c>
    </row>
    <row r="998" spans="1:6" x14ac:dyDescent="0.25">
      <c r="A998" t="s">
        <v>1142</v>
      </c>
      <c r="B998" t="s">
        <v>402</v>
      </c>
      <c r="C998" s="69">
        <v>43889</v>
      </c>
      <c r="D998" s="28">
        <v>6456.7929999999997</v>
      </c>
    </row>
    <row r="999" spans="1:6" x14ac:dyDescent="0.25">
      <c r="A999" t="s">
        <v>1273</v>
      </c>
      <c r="B999" t="s">
        <v>469</v>
      </c>
      <c r="C999" s="69">
        <v>43889</v>
      </c>
      <c r="D999" s="28">
        <v>4970.3909999999996</v>
      </c>
    </row>
    <row r="1000" spans="1:6" x14ac:dyDescent="0.25">
      <c r="A1000" t="s">
        <v>593</v>
      </c>
      <c r="B1000" t="s">
        <v>675</v>
      </c>
      <c r="C1000" s="69">
        <v>43889</v>
      </c>
      <c r="D1000" s="28">
        <v>813.995</v>
      </c>
    </row>
    <row r="1001" spans="1:6" x14ac:dyDescent="0.25">
      <c r="A1001" t="s">
        <v>1272</v>
      </c>
      <c r="B1001" t="s">
        <v>827</v>
      </c>
      <c r="C1001" s="69">
        <v>43889</v>
      </c>
      <c r="D1001" s="28">
        <v>490.54700000000003</v>
      </c>
    </row>
    <row r="1002" spans="1:6" s="730" customFormat="1" x14ac:dyDescent="0.25">
      <c r="A1002" t="s">
        <v>1187</v>
      </c>
      <c r="B1002" t="s">
        <v>836</v>
      </c>
      <c r="C1002" s="69">
        <v>43889</v>
      </c>
      <c r="D1002" s="28">
        <v>1122.8489999999999</v>
      </c>
      <c r="E1002"/>
      <c r="F1002"/>
    </row>
    <row r="1003" spans="1:6" x14ac:dyDescent="0.25">
      <c r="A1003" t="s">
        <v>1343</v>
      </c>
      <c r="B1003" t="s">
        <v>1342</v>
      </c>
      <c r="C1003" s="69">
        <v>43889</v>
      </c>
      <c r="D1003" s="28">
        <v>802.125</v>
      </c>
    </row>
    <row r="1004" spans="1:6" x14ac:dyDescent="0.25">
      <c r="A1004" t="s">
        <v>1345</v>
      </c>
      <c r="B1004" t="s">
        <v>1344</v>
      </c>
      <c r="C1004" s="69">
        <v>43889</v>
      </c>
      <c r="D1004" s="28">
        <v>180.435</v>
      </c>
    </row>
    <row r="1005" spans="1:6" x14ac:dyDescent="0.25">
      <c r="A1005" t="s">
        <v>985</v>
      </c>
      <c r="B1005" t="s">
        <v>398</v>
      </c>
      <c r="C1005" s="69">
        <v>43889</v>
      </c>
      <c r="D1005" s="28">
        <v>2033.6089999999999</v>
      </c>
    </row>
    <row r="1006" spans="1:6" x14ac:dyDescent="0.25">
      <c r="A1006" t="s">
        <v>1437</v>
      </c>
      <c r="B1006" t="s">
        <v>1201</v>
      </c>
      <c r="C1006" s="69">
        <v>43889</v>
      </c>
      <c r="D1006" s="28">
        <v>760.68899999999996</v>
      </c>
    </row>
    <row r="1007" spans="1:6" x14ac:dyDescent="0.25">
      <c r="A1007" t="s">
        <v>1053</v>
      </c>
      <c r="B1007" t="s">
        <v>396</v>
      </c>
      <c r="C1007" s="69">
        <v>43889</v>
      </c>
      <c r="D1007" s="28">
        <v>788.654</v>
      </c>
    </row>
    <row r="1008" spans="1:6" x14ac:dyDescent="0.25">
      <c r="A1008" t="s">
        <v>1080</v>
      </c>
      <c r="B1008" t="s">
        <v>699</v>
      </c>
      <c r="C1008" s="69">
        <v>43889</v>
      </c>
      <c r="D1008" s="28">
        <v>1157.1020000000001</v>
      </c>
    </row>
    <row r="1009" spans="1:6" x14ac:dyDescent="0.25">
      <c r="A1009" t="s">
        <v>1429</v>
      </c>
      <c r="B1009" t="s">
        <v>465</v>
      </c>
      <c r="C1009" s="69">
        <v>43889</v>
      </c>
      <c r="D1009" s="28">
        <v>2536.558</v>
      </c>
    </row>
    <row r="1010" spans="1:6" x14ac:dyDescent="0.25">
      <c r="A1010" t="s">
        <v>473</v>
      </c>
      <c r="B1010" t="s">
        <v>370</v>
      </c>
      <c r="C1010" s="69">
        <v>43889</v>
      </c>
      <c r="D1010" s="28">
        <v>2315.6129999999998</v>
      </c>
    </row>
    <row r="1011" spans="1:6" x14ac:dyDescent="0.25">
      <c r="A1011" t="s">
        <v>901</v>
      </c>
      <c r="B1011" t="s">
        <v>835</v>
      </c>
      <c r="C1011" s="69">
        <v>43889</v>
      </c>
      <c r="D1011" s="28">
        <v>160.001</v>
      </c>
    </row>
    <row r="1012" spans="1:6" x14ac:dyDescent="0.25">
      <c r="A1012" t="s">
        <v>1434</v>
      </c>
      <c r="B1012" t="s">
        <v>353</v>
      </c>
      <c r="C1012" s="69">
        <v>43889</v>
      </c>
      <c r="D1012" s="28">
        <v>1130.9000000000001</v>
      </c>
      <c r="F1012" s="730"/>
    </row>
    <row r="1013" spans="1:6" x14ac:dyDescent="0.25">
      <c r="A1013" t="s">
        <v>736</v>
      </c>
      <c r="B1013" t="s">
        <v>394</v>
      </c>
      <c r="C1013" s="69">
        <v>43889</v>
      </c>
      <c r="D1013" s="28">
        <v>2067.261</v>
      </c>
    </row>
    <row r="1014" spans="1:6" x14ac:dyDescent="0.25">
      <c r="A1014" t="s">
        <v>408</v>
      </c>
      <c r="B1014" t="s">
        <v>409</v>
      </c>
      <c r="C1014" s="69">
        <v>43889</v>
      </c>
      <c r="D1014" s="28">
        <v>1986.4</v>
      </c>
    </row>
    <row r="1015" spans="1:6" x14ac:dyDescent="0.25">
      <c r="A1015" t="s">
        <v>330</v>
      </c>
      <c r="B1015" t="s">
        <v>331</v>
      </c>
      <c r="C1015" s="69">
        <v>43889</v>
      </c>
      <c r="D1015" s="28">
        <v>2200</v>
      </c>
    </row>
    <row r="1016" spans="1:6" x14ac:dyDescent="0.25">
      <c r="A1016" t="s">
        <v>1027</v>
      </c>
      <c r="B1016" t="s">
        <v>1026</v>
      </c>
      <c r="C1016" s="69">
        <v>43889</v>
      </c>
      <c r="D1016" s="28">
        <v>5000</v>
      </c>
    </row>
    <row r="1017" spans="1:6" x14ac:dyDescent="0.25">
      <c r="A1017" t="s">
        <v>336</v>
      </c>
      <c r="B1017" t="s">
        <v>337</v>
      </c>
      <c r="C1017" s="69">
        <v>43889</v>
      </c>
      <c r="D1017" s="28">
        <v>3533.4690000000001</v>
      </c>
    </row>
    <row r="1018" spans="1:6" x14ac:dyDescent="0.25">
      <c r="A1018" t="s">
        <v>450</v>
      </c>
      <c r="B1018" t="s">
        <v>451</v>
      </c>
      <c r="C1018" s="69">
        <v>43889</v>
      </c>
      <c r="D1018" s="28">
        <v>1142.53</v>
      </c>
    </row>
    <row r="1019" spans="1:6" x14ac:dyDescent="0.25">
      <c r="A1019" t="s">
        <v>724</v>
      </c>
      <c r="B1019" t="s">
        <v>723</v>
      </c>
      <c r="C1019" s="69">
        <v>43889</v>
      </c>
      <c r="D1019" s="28">
        <v>2783.3440000000001</v>
      </c>
    </row>
    <row r="1020" spans="1:6" x14ac:dyDescent="0.25">
      <c r="A1020" t="s">
        <v>357</v>
      </c>
      <c r="B1020" t="s">
        <v>358</v>
      </c>
      <c r="C1020" s="69">
        <v>43889</v>
      </c>
      <c r="D1020" s="28">
        <v>2830</v>
      </c>
    </row>
    <row r="1021" spans="1:6" x14ac:dyDescent="0.25">
      <c r="A1021" t="s">
        <v>1347</v>
      </c>
      <c r="B1021" t="s">
        <v>1346</v>
      </c>
      <c r="C1021" s="69">
        <v>43889</v>
      </c>
      <c r="D1021" s="28">
        <v>892</v>
      </c>
    </row>
    <row r="1022" spans="1:6" x14ac:dyDescent="0.25">
      <c r="A1022" t="s">
        <v>404</v>
      </c>
      <c r="B1022" t="s">
        <v>405</v>
      </c>
      <c r="C1022" s="69">
        <v>43889</v>
      </c>
      <c r="D1022" s="28">
        <v>173.03100000000001</v>
      </c>
    </row>
    <row r="1023" spans="1:6" x14ac:dyDescent="0.25">
      <c r="A1023" t="s">
        <v>659</v>
      </c>
      <c r="B1023" t="s">
        <v>658</v>
      </c>
      <c r="C1023" s="69">
        <v>43889</v>
      </c>
      <c r="D1023" s="28">
        <v>1703.72</v>
      </c>
    </row>
    <row r="1024" spans="1:6" x14ac:dyDescent="0.25">
      <c r="A1024" t="s">
        <v>410</v>
      </c>
      <c r="B1024" t="s">
        <v>411</v>
      </c>
      <c r="C1024" s="69">
        <v>43889</v>
      </c>
      <c r="D1024" s="28">
        <v>1226.8630000000001</v>
      </c>
    </row>
    <row r="1025" spans="1:4" x14ac:dyDescent="0.25">
      <c r="A1025" t="s">
        <v>546</v>
      </c>
      <c r="B1025" t="s">
        <v>553</v>
      </c>
      <c r="C1025" s="69">
        <v>43889</v>
      </c>
      <c r="D1025" s="28">
        <v>11336.396000000001</v>
      </c>
    </row>
    <row r="1026" spans="1:4" x14ac:dyDescent="0.25">
      <c r="A1026" t="s">
        <v>826</v>
      </c>
      <c r="B1026" t="s">
        <v>831</v>
      </c>
      <c r="C1026" s="69">
        <v>43889</v>
      </c>
      <c r="D1026" s="28">
        <v>3493.9789999999998</v>
      </c>
    </row>
    <row r="1027" spans="1:4" x14ac:dyDescent="0.25">
      <c r="A1027" t="s">
        <v>1172</v>
      </c>
      <c r="B1027" t="s">
        <v>381</v>
      </c>
      <c r="C1027" s="69">
        <v>43889</v>
      </c>
      <c r="D1027" s="28">
        <v>2980.6309999999999</v>
      </c>
    </row>
    <row r="1028" spans="1:4" x14ac:dyDescent="0.25">
      <c r="A1028" t="s">
        <v>625</v>
      </c>
      <c r="B1028" t="s">
        <v>674</v>
      </c>
      <c r="C1028" s="69">
        <v>43889</v>
      </c>
      <c r="D1028" s="28">
        <v>2864.2339999999999</v>
      </c>
    </row>
    <row r="1029" spans="1:4" x14ac:dyDescent="0.25">
      <c r="A1029" t="s">
        <v>1057</v>
      </c>
      <c r="B1029" t="s">
        <v>1056</v>
      </c>
      <c r="C1029" s="69">
        <v>43889</v>
      </c>
      <c r="D1029" s="28">
        <v>22457.522000000001</v>
      </c>
    </row>
    <row r="1030" spans="1:4" x14ac:dyDescent="0.25">
      <c r="A1030" t="s">
        <v>1265</v>
      </c>
      <c r="B1030" t="s">
        <v>1264</v>
      </c>
      <c r="C1030" s="69">
        <v>43889</v>
      </c>
      <c r="D1030" s="28">
        <v>825.86500000000001</v>
      </c>
    </row>
    <row r="1031" spans="1:4" x14ac:dyDescent="0.25">
      <c r="A1031" t="s">
        <v>511</v>
      </c>
      <c r="B1031" t="s">
        <v>512</v>
      </c>
      <c r="C1031" s="69">
        <v>43890</v>
      </c>
      <c r="D1031" s="28">
        <v>2500</v>
      </c>
    </row>
    <row r="1032" spans="1:4" x14ac:dyDescent="0.25">
      <c r="A1032" t="s">
        <v>274</v>
      </c>
      <c r="B1032" t="s">
        <v>665</v>
      </c>
      <c r="C1032" s="69">
        <v>43890</v>
      </c>
      <c r="D1032" s="28">
        <v>3622.0770000000002</v>
      </c>
    </row>
    <row r="1033" spans="1:4" x14ac:dyDescent="0.25">
      <c r="A1033" t="s">
        <v>1341</v>
      </c>
      <c r="B1033" t="s">
        <v>417</v>
      </c>
      <c r="C1033" s="69">
        <v>43890</v>
      </c>
      <c r="D1033" s="28">
        <v>942.87199999999996</v>
      </c>
    </row>
    <row r="1034" spans="1:4" x14ac:dyDescent="0.25">
      <c r="A1034" t="s">
        <v>418</v>
      </c>
      <c r="B1034" t="s">
        <v>419</v>
      </c>
      <c r="C1034" s="69">
        <v>43890</v>
      </c>
      <c r="D1034" s="28">
        <v>6849.7579999999998</v>
      </c>
    </row>
    <row r="1035" spans="1:4" x14ac:dyDescent="0.25">
      <c r="A1035" t="s">
        <v>277</v>
      </c>
      <c r="B1035" t="s">
        <v>278</v>
      </c>
      <c r="C1035" s="69">
        <v>43890</v>
      </c>
      <c r="D1035" s="28">
        <v>849.75199999999995</v>
      </c>
    </row>
    <row r="1036" spans="1:4" x14ac:dyDescent="0.25">
      <c r="A1036" t="s">
        <v>720</v>
      </c>
      <c r="B1036" t="s">
        <v>468</v>
      </c>
      <c r="C1036" s="69">
        <v>43890</v>
      </c>
      <c r="D1036" s="28">
        <v>3354.2829999999999</v>
      </c>
    </row>
    <row r="1037" spans="1:4" x14ac:dyDescent="0.25">
      <c r="A1037" t="s">
        <v>1169</v>
      </c>
      <c r="B1037" t="s">
        <v>1168</v>
      </c>
      <c r="C1037" s="69">
        <v>43890</v>
      </c>
      <c r="D1037" s="28">
        <v>935.75</v>
      </c>
    </row>
    <row r="1038" spans="1:4" x14ac:dyDescent="0.25">
      <c r="A1038" t="s">
        <v>932</v>
      </c>
      <c r="B1038" t="s">
        <v>472</v>
      </c>
      <c r="C1038" s="69">
        <v>43890</v>
      </c>
      <c r="D1038" s="28">
        <v>1697.489</v>
      </c>
    </row>
    <row r="1039" spans="1:4" x14ac:dyDescent="0.25">
      <c r="A1039" t="s">
        <v>616</v>
      </c>
      <c r="B1039" t="s">
        <v>576</v>
      </c>
      <c r="C1039" s="69">
        <v>43890</v>
      </c>
      <c r="D1039" s="28">
        <v>524.76199999999994</v>
      </c>
    </row>
    <row r="1040" spans="1:4" x14ac:dyDescent="0.25">
      <c r="A1040" t="s">
        <v>294</v>
      </c>
      <c r="B1040" t="s">
        <v>295</v>
      </c>
      <c r="C1040" s="69">
        <v>43890</v>
      </c>
      <c r="D1040" s="28">
        <v>500</v>
      </c>
    </row>
    <row r="1041" spans="1:4" x14ac:dyDescent="0.25">
      <c r="A1041" t="s">
        <v>930</v>
      </c>
      <c r="B1041" t="s">
        <v>708</v>
      </c>
      <c r="C1041" s="69">
        <v>43890</v>
      </c>
      <c r="D1041" s="28">
        <v>2200</v>
      </c>
    </row>
    <row r="1042" spans="1:4" x14ac:dyDescent="0.25">
      <c r="A1042" t="s">
        <v>1000</v>
      </c>
      <c r="B1042" t="s">
        <v>470</v>
      </c>
      <c r="C1042" s="69">
        <v>43890</v>
      </c>
      <c r="D1042" s="28">
        <v>479.36099999999999</v>
      </c>
    </row>
    <row r="1043" spans="1:4" x14ac:dyDescent="0.25">
      <c r="A1043" t="s">
        <v>878</v>
      </c>
      <c r="B1043" t="s">
        <v>466</v>
      </c>
      <c r="C1043" s="69">
        <v>43890</v>
      </c>
      <c r="D1043" s="28">
        <v>5616.6959999999999</v>
      </c>
    </row>
    <row r="1044" spans="1:4" x14ac:dyDescent="0.25">
      <c r="A1044" t="s">
        <v>876</v>
      </c>
      <c r="B1044" t="s">
        <v>321</v>
      </c>
      <c r="C1044" s="69">
        <v>43890</v>
      </c>
      <c r="D1044" s="28">
        <v>1433.721</v>
      </c>
    </row>
    <row r="1045" spans="1:4" x14ac:dyDescent="0.25">
      <c r="A1045" t="s">
        <v>939</v>
      </c>
      <c r="B1045" t="s">
        <v>769</v>
      </c>
      <c r="C1045" s="69">
        <v>43890</v>
      </c>
      <c r="D1045" s="28">
        <v>718.84799999999996</v>
      </c>
    </row>
    <row r="1046" spans="1:4" x14ac:dyDescent="0.25">
      <c r="A1046" t="s">
        <v>342</v>
      </c>
      <c r="B1046" t="s">
        <v>343</v>
      </c>
      <c r="C1046" s="69">
        <v>43890</v>
      </c>
      <c r="D1046" s="28">
        <v>2408.8710000000001</v>
      </c>
    </row>
    <row r="1047" spans="1:4" x14ac:dyDescent="0.25">
      <c r="A1047" t="s">
        <v>297</v>
      </c>
      <c r="B1047" t="s">
        <v>298</v>
      </c>
      <c r="C1047" s="69">
        <v>43890</v>
      </c>
      <c r="D1047" s="28">
        <v>1500</v>
      </c>
    </row>
    <row r="1048" spans="1:4" x14ac:dyDescent="0.25">
      <c r="A1048" t="s">
        <v>328</v>
      </c>
      <c r="B1048" t="s">
        <v>329</v>
      </c>
      <c r="C1048" s="69">
        <v>43890</v>
      </c>
      <c r="D1048" s="28">
        <v>1700.0319999999999</v>
      </c>
    </row>
    <row r="1049" spans="1:4" x14ac:dyDescent="0.25">
      <c r="A1049" t="s">
        <v>347</v>
      </c>
      <c r="B1049" t="s">
        <v>348</v>
      </c>
      <c r="C1049" s="69">
        <v>43890</v>
      </c>
      <c r="D1049" s="28">
        <v>6313.0720000000001</v>
      </c>
    </row>
    <row r="1050" spans="1:4" x14ac:dyDescent="0.25">
      <c r="A1050" t="s">
        <v>406</v>
      </c>
      <c r="B1050" t="s">
        <v>407</v>
      </c>
      <c r="C1050" s="69">
        <v>43890</v>
      </c>
      <c r="D1050" s="28">
        <v>2303.3980000000001</v>
      </c>
    </row>
    <row r="1051" spans="1:4" x14ac:dyDescent="0.25">
      <c r="A1051" t="s">
        <v>1190</v>
      </c>
      <c r="B1051" t="s">
        <v>1189</v>
      </c>
      <c r="C1051" s="69">
        <v>43890</v>
      </c>
      <c r="D1051" s="28">
        <v>3072.8539999999998</v>
      </c>
    </row>
    <row r="1052" spans="1:4" x14ac:dyDescent="0.25">
      <c r="A1052" t="s">
        <v>373</v>
      </c>
      <c r="B1052" t="s">
        <v>374</v>
      </c>
      <c r="C1052" s="69">
        <v>43890</v>
      </c>
      <c r="D1052" s="28">
        <v>1831.8130000000001</v>
      </c>
    </row>
    <row r="1053" spans="1:4" x14ac:dyDescent="0.25">
      <c r="A1053" t="s">
        <v>415</v>
      </c>
      <c r="B1053" t="s">
        <v>679</v>
      </c>
      <c r="C1053" s="69">
        <v>43890</v>
      </c>
      <c r="D1053" s="28">
        <v>4224.259</v>
      </c>
    </row>
    <row r="1054" spans="1:4" x14ac:dyDescent="0.25">
      <c r="A1054" t="s">
        <v>795</v>
      </c>
      <c r="B1054" t="s">
        <v>805</v>
      </c>
      <c r="C1054" s="69">
        <v>43890</v>
      </c>
      <c r="D1054" s="28">
        <v>1900</v>
      </c>
    </row>
    <row r="1055" spans="1:4" ht="15.75" thickBot="1" x14ac:dyDescent="0.3">
      <c r="A1055" t="s">
        <v>428</v>
      </c>
      <c r="B1055" t="s">
        <v>429</v>
      </c>
      <c r="C1055" s="69">
        <v>43890</v>
      </c>
      <c r="D1055" s="28">
        <v>1500</v>
      </c>
    </row>
    <row r="1056" spans="1:4" ht="15.75" thickBot="1" x14ac:dyDescent="0.3">
      <c r="A1056" s="1002" t="s">
        <v>899</v>
      </c>
      <c r="B1056" s="1003"/>
      <c r="C1056" s="1003"/>
      <c r="D1056" s="732">
        <f>SUM(D634:D1055)</f>
        <v>1086295.4440000001</v>
      </c>
    </row>
    <row r="1057" spans="1:6" s="730" customFormat="1" x14ac:dyDescent="0.25">
      <c r="A1057" t="s">
        <v>380</v>
      </c>
      <c r="B1057" t="s">
        <v>673</v>
      </c>
      <c r="C1057" s="69">
        <v>43891</v>
      </c>
      <c r="D1057" s="28">
        <v>5108.41</v>
      </c>
      <c r="E1057"/>
      <c r="F1057"/>
    </row>
    <row r="1058" spans="1:6" x14ac:dyDescent="0.25">
      <c r="A1058" t="s">
        <v>644</v>
      </c>
      <c r="B1058" t="s">
        <v>275</v>
      </c>
      <c r="C1058" s="69">
        <v>43891</v>
      </c>
      <c r="D1058" s="28">
        <v>2500</v>
      </c>
    </row>
    <row r="1059" spans="1:6" x14ac:dyDescent="0.25">
      <c r="A1059" t="s">
        <v>1271</v>
      </c>
      <c r="B1059" t="s">
        <v>399</v>
      </c>
      <c r="C1059" s="69">
        <v>43891</v>
      </c>
      <c r="D1059" s="28">
        <v>10213.370999999999</v>
      </c>
    </row>
    <row r="1060" spans="1:6" x14ac:dyDescent="0.25">
      <c r="A1060" t="s">
        <v>301</v>
      </c>
      <c r="B1060" t="s">
        <v>302</v>
      </c>
      <c r="C1060" s="69">
        <v>43891</v>
      </c>
      <c r="D1060" s="28">
        <v>2150</v>
      </c>
    </row>
    <row r="1061" spans="1:6" x14ac:dyDescent="0.25">
      <c r="A1061" t="s">
        <v>282</v>
      </c>
      <c r="B1061" t="s">
        <v>283</v>
      </c>
      <c r="C1061" s="69">
        <v>43892</v>
      </c>
      <c r="D1061" s="28">
        <v>1800</v>
      </c>
    </row>
    <row r="1062" spans="1:6" x14ac:dyDescent="0.25">
      <c r="A1062" t="s">
        <v>830</v>
      </c>
      <c r="B1062" t="s">
        <v>668</v>
      </c>
      <c r="C1062" s="69">
        <v>43892</v>
      </c>
      <c r="D1062" s="28">
        <v>1450</v>
      </c>
    </row>
    <row r="1063" spans="1:6" s="730" customFormat="1" x14ac:dyDescent="0.25">
      <c r="A1063" t="s">
        <v>943</v>
      </c>
      <c r="B1063" t="s">
        <v>542</v>
      </c>
      <c r="C1063" s="69">
        <v>43892</v>
      </c>
      <c r="D1063" s="28">
        <v>324.99400000000003</v>
      </c>
      <c r="E1063"/>
      <c r="F1063"/>
    </row>
    <row r="1064" spans="1:6" x14ac:dyDescent="0.25">
      <c r="A1064" t="s">
        <v>425</v>
      </c>
      <c r="B1064" t="s">
        <v>426</v>
      </c>
      <c r="C1064" s="69">
        <v>43892</v>
      </c>
      <c r="D1064" s="28">
        <v>4000</v>
      </c>
    </row>
    <row r="1065" spans="1:6" s="730" customFormat="1" x14ac:dyDescent="0.25">
      <c r="A1065" t="s">
        <v>349</v>
      </c>
      <c r="B1065" t="s">
        <v>350</v>
      </c>
      <c r="C1065" s="69">
        <v>43892</v>
      </c>
      <c r="D1065" s="28">
        <v>1500</v>
      </c>
      <c r="E1065"/>
      <c r="F1065"/>
    </row>
    <row r="1066" spans="1:6" x14ac:dyDescent="0.25">
      <c r="A1066" t="s">
        <v>758</v>
      </c>
      <c r="B1066" t="s">
        <v>757</v>
      </c>
      <c r="C1066" s="69">
        <v>43892</v>
      </c>
      <c r="D1066" s="28">
        <v>704.04</v>
      </c>
    </row>
    <row r="1067" spans="1:6" x14ac:dyDescent="0.25">
      <c r="A1067" t="s">
        <v>282</v>
      </c>
      <c r="B1067" t="s">
        <v>283</v>
      </c>
      <c r="C1067" s="69">
        <v>43893</v>
      </c>
      <c r="D1067" s="28">
        <v>2000</v>
      </c>
    </row>
    <row r="1068" spans="1:6" x14ac:dyDescent="0.25">
      <c r="A1068" t="s">
        <v>905</v>
      </c>
      <c r="B1068" t="s">
        <v>938</v>
      </c>
      <c r="C1068" s="69">
        <v>43893</v>
      </c>
      <c r="D1068" s="28">
        <v>1000</v>
      </c>
    </row>
    <row r="1069" spans="1:6" x14ac:dyDescent="0.25">
      <c r="A1069" t="s">
        <v>444</v>
      </c>
      <c r="B1069" t="s">
        <v>316</v>
      </c>
      <c r="C1069" s="69">
        <v>43893</v>
      </c>
      <c r="D1069" s="28">
        <v>1203.8399999999999</v>
      </c>
    </row>
    <row r="1070" spans="1:6" x14ac:dyDescent="0.25">
      <c r="A1070" t="s">
        <v>294</v>
      </c>
      <c r="B1070" t="s">
        <v>295</v>
      </c>
      <c r="C1070" s="69">
        <v>43893</v>
      </c>
      <c r="D1070" s="28">
        <v>560</v>
      </c>
    </row>
    <row r="1071" spans="1:6" x14ac:dyDescent="0.25">
      <c r="A1071" t="s">
        <v>1340</v>
      </c>
      <c r="B1071" t="s">
        <v>472</v>
      </c>
      <c r="C1071" s="69">
        <v>43893</v>
      </c>
      <c r="D1071" s="28">
        <v>1670.1110000000001</v>
      </c>
    </row>
    <row r="1072" spans="1:6" x14ac:dyDescent="0.25">
      <c r="A1072" t="s">
        <v>336</v>
      </c>
      <c r="B1072" t="s">
        <v>337</v>
      </c>
      <c r="C1072" s="69">
        <v>43893</v>
      </c>
      <c r="D1072" s="28">
        <v>3500</v>
      </c>
    </row>
    <row r="1073" spans="1:4" x14ac:dyDescent="0.25">
      <c r="A1073" t="s">
        <v>282</v>
      </c>
      <c r="B1073" t="s">
        <v>283</v>
      </c>
      <c r="C1073" s="69">
        <v>43894</v>
      </c>
      <c r="D1073" s="28">
        <v>1700</v>
      </c>
    </row>
    <row r="1074" spans="1:4" x14ac:dyDescent="0.25">
      <c r="A1074" t="s">
        <v>304</v>
      </c>
      <c r="B1074" t="s">
        <v>305</v>
      </c>
      <c r="C1074" s="69">
        <v>43894</v>
      </c>
      <c r="D1074" s="28">
        <v>902.75</v>
      </c>
    </row>
    <row r="1075" spans="1:4" x14ac:dyDescent="0.25">
      <c r="A1075" t="s">
        <v>902</v>
      </c>
      <c r="B1075" t="s">
        <v>479</v>
      </c>
      <c r="C1075" s="69">
        <v>43894</v>
      </c>
      <c r="D1075" s="28">
        <v>1008.388</v>
      </c>
    </row>
    <row r="1076" spans="1:4" x14ac:dyDescent="0.25">
      <c r="A1076" t="s">
        <v>317</v>
      </c>
      <c r="B1076" t="s">
        <v>318</v>
      </c>
      <c r="C1076" s="69">
        <v>43894</v>
      </c>
      <c r="D1076" s="28">
        <v>983.76800000000003</v>
      </c>
    </row>
    <row r="1077" spans="1:4" x14ac:dyDescent="0.25">
      <c r="A1077" t="s">
        <v>460</v>
      </c>
      <c r="B1077" t="s">
        <v>461</v>
      </c>
      <c r="C1077" s="69">
        <v>43895</v>
      </c>
      <c r="D1077" s="28">
        <v>3993.4560000000001</v>
      </c>
    </row>
    <row r="1078" spans="1:4" x14ac:dyDescent="0.25">
      <c r="A1078" t="s">
        <v>791</v>
      </c>
      <c r="B1078" t="s">
        <v>803</v>
      </c>
      <c r="C1078" s="69">
        <v>43895</v>
      </c>
      <c r="D1078" s="28">
        <v>2500</v>
      </c>
    </row>
    <row r="1079" spans="1:4" x14ac:dyDescent="0.25">
      <c r="A1079" t="s">
        <v>282</v>
      </c>
      <c r="B1079" t="s">
        <v>283</v>
      </c>
      <c r="C1079" s="69">
        <v>43895</v>
      </c>
      <c r="D1079" s="28">
        <v>1800</v>
      </c>
    </row>
    <row r="1080" spans="1:4" x14ac:dyDescent="0.25">
      <c r="A1080" t="s">
        <v>796</v>
      </c>
      <c r="B1080" t="s">
        <v>806</v>
      </c>
      <c r="C1080" s="69">
        <v>43895</v>
      </c>
      <c r="D1080" s="28">
        <v>3918.953</v>
      </c>
    </row>
    <row r="1081" spans="1:4" x14ac:dyDescent="0.25">
      <c r="A1081" t="s">
        <v>722</v>
      </c>
      <c r="B1081" t="s">
        <v>440</v>
      </c>
      <c r="C1081" s="69">
        <v>43895</v>
      </c>
      <c r="D1081" s="28">
        <v>3945.1170000000002</v>
      </c>
    </row>
    <row r="1082" spans="1:4" x14ac:dyDescent="0.25">
      <c r="A1082" t="s">
        <v>925</v>
      </c>
      <c r="B1082" t="s">
        <v>664</v>
      </c>
      <c r="C1082" s="69">
        <v>43895</v>
      </c>
      <c r="D1082" s="28">
        <v>5360.7120000000004</v>
      </c>
    </row>
    <row r="1083" spans="1:4" x14ac:dyDescent="0.25">
      <c r="A1083" t="s">
        <v>830</v>
      </c>
      <c r="B1083" t="s">
        <v>668</v>
      </c>
      <c r="C1083" s="69">
        <v>43895</v>
      </c>
      <c r="D1083" s="28">
        <v>370</v>
      </c>
    </row>
    <row r="1084" spans="1:4" x14ac:dyDescent="0.25">
      <c r="A1084" t="s">
        <v>859</v>
      </c>
      <c r="B1084" t="s">
        <v>698</v>
      </c>
      <c r="C1084" s="69">
        <v>43895</v>
      </c>
      <c r="D1084" s="28">
        <v>6383.067</v>
      </c>
    </row>
    <row r="1085" spans="1:4" x14ac:dyDescent="0.25">
      <c r="A1085" t="s">
        <v>1140</v>
      </c>
      <c r="B1085" t="s">
        <v>732</v>
      </c>
      <c r="C1085" s="69">
        <v>43895</v>
      </c>
      <c r="D1085" s="28">
        <v>748.79700000000003</v>
      </c>
    </row>
    <row r="1086" spans="1:4" x14ac:dyDescent="0.25">
      <c r="A1086" t="s">
        <v>1139</v>
      </c>
      <c r="B1086" t="s">
        <v>843</v>
      </c>
      <c r="C1086" s="69">
        <v>43895</v>
      </c>
      <c r="D1086" s="28">
        <v>1250</v>
      </c>
    </row>
    <row r="1087" spans="1:4" x14ac:dyDescent="0.25">
      <c r="A1087" t="s">
        <v>739</v>
      </c>
      <c r="B1087" t="s">
        <v>432</v>
      </c>
      <c r="C1087" s="69">
        <v>43895</v>
      </c>
      <c r="D1087" s="28">
        <v>2000</v>
      </c>
    </row>
    <row r="1088" spans="1:4" x14ac:dyDescent="0.25">
      <c r="A1088" t="s">
        <v>1167</v>
      </c>
      <c r="B1088" t="s">
        <v>433</v>
      </c>
      <c r="C1088" s="69">
        <v>43895</v>
      </c>
      <c r="D1088" s="28">
        <v>3460.6970000000001</v>
      </c>
    </row>
    <row r="1089" spans="1:6" x14ac:dyDescent="0.25">
      <c r="A1089" t="s">
        <v>1166</v>
      </c>
      <c r="B1089" t="s">
        <v>364</v>
      </c>
      <c r="C1089" s="69">
        <v>43895</v>
      </c>
      <c r="D1089" s="28">
        <v>1742.0250000000001</v>
      </c>
    </row>
    <row r="1090" spans="1:6" x14ac:dyDescent="0.25">
      <c r="A1090" t="s">
        <v>1164</v>
      </c>
      <c r="B1090" t="s">
        <v>338</v>
      </c>
      <c r="C1090" s="69">
        <v>43895</v>
      </c>
      <c r="D1090" s="28">
        <v>2365.3209999999999</v>
      </c>
    </row>
    <row r="1091" spans="1:6" x14ac:dyDescent="0.25">
      <c r="A1091" t="s">
        <v>1165</v>
      </c>
      <c r="B1091" t="s">
        <v>760</v>
      </c>
      <c r="C1091" s="69">
        <v>43895</v>
      </c>
      <c r="D1091" s="28">
        <v>1011.2670000000001</v>
      </c>
    </row>
    <row r="1092" spans="1:6" x14ac:dyDescent="0.25">
      <c r="A1092" t="s">
        <v>1163</v>
      </c>
      <c r="B1092" t="s">
        <v>1162</v>
      </c>
      <c r="C1092" s="69">
        <v>43895</v>
      </c>
      <c r="D1092" s="28">
        <v>2374.2820000000002</v>
      </c>
    </row>
    <row r="1093" spans="1:6" x14ac:dyDescent="0.25">
      <c r="A1093" t="s">
        <v>1243</v>
      </c>
      <c r="B1093" t="s">
        <v>940</v>
      </c>
      <c r="C1093" s="69">
        <v>43895</v>
      </c>
      <c r="D1093" s="28">
        <v>2592.4989999999998</v>
      </c>
    </row>
    <row r="1094" spans="1:6" x14ac:dyDescent="0.25">
      <c r="A1094" t="s">
        <v>1434</v>
      </c>
      <c r="B1094" t="s">
        <v>353</v>
      </c>
      <c r="C1094" s="69">
        <v>43895</v>
      </c>
      <c r="D1094" s="28">
        <v>1130.8</v>
      </c>
    </row>
    <row r="1095" spans="1:6" x14ac:dyDescent="0.25">
      <c r="A1095" t="s">
        <v>330</v>
      </c>
      <c r="B1095" t="s">
        <v>331</v>
      </c>
      <c r="C1095" s="69">
        <v>43895</v>
      </c>
      <c r="D1095" s="28">
        <v>2200</v>
      </c>
    </row>
    <row r="1096" spans="1:6" x14ac:dyDescent="0.25">
      <c r="A1096" t="s">
        <v>423</v>
      </c>
      <c r="B1096" t="s">
        <v>424</v>
      </c>
      <c r="C1096" s="69">
        <v>43895</v>
      </c>
      <c r="D1096" s="28">
        <v>3267.6190000000001</v>
      </c>
    </row>
    <row r="1097" spans="1:6" x14ac:dyDescent="0.25">
      <c r="A1097" t="s">
        <v>413</v>
      </c>
      <c r="B1097" t="s">
        <v>414</v>
      </c>
      <c r="C1097" s="69">
        <v>43895</v>
      </c>
      <c r="D1097" s="28">
        <v>1881.921</v>
      </c>
    </row>
    <row r="1098" spans="1:6" x14ac:dyDescent="0.25">
      <c r="A1098" t="s">
        <v>566</v>
      </c>
      <c r="B1098" t="s">
        <v>565</v>
      </c>
      <c r="C1098" s="69">
        <v>43895</v>
      </c>
      <c r="D1098" s="28">
        <v>6000</v>
      </c>
    </row>
    <row r="1099" spans="1:6" x14ac:dyDescent="0.25">
      <c r="A1099" t="s">
        <v>301</v>
      </c>
      <c r="B1099" t="s">
        <v>302</v>
      </c>
      <c r="C1099" s="69">
        <v>43895</v>
      </c>
      <c r="D1099" s="28">
        <v>2095.8330000000001</v>
      </c>
    </row>
    <row r="1100" spans="1:6" x14ac:dyDescent="0.25">
      <c r="A1100" t="s">
        <v>437</v>
      </c>
      <c r="B1100" t="s">
        <v>438</v>
      </c>
      <c r="C1100" s="69">
        <v>43895</v>
      </c>
      <c r="D1100" s="28">
        <v>3434.97</v>
      </c>
      <c r="F1100" s="730"/>
    </row>
    <row r="1101" spans="1:6" x14ac:dyDescent="0.25">
      <c r="A1101" t="s">
        <v>334</v>
      </c>
      <c r="B1101" t="s">
        <v>335</v>
      </c>
      <c r="C1101" s="69">
        <v>43895</v>
      </c>
      <c r="D1101" s="28">
        <v>2100</v>
      </c>
    </row>
    <row r="1102" spans="1:6" x14ac:dyDescent="0.25">
      <c r="A1102" t="s">
        <v>282</v>
      </c>
      <c r="B1102" t="s">
        <v>283</v>
      </c>
      <c r="C1102" s="69">
        <v>43896</v>
      </c>
      <c r="D1102" s="28">
        <v>2000</v>
      </c>
    </row>
    <row r="1103" spans="1:6" x14ac:dyDescent="0.25">
      <c r="A1103" t="s">
        <v>830</v>
      </c>
      <c r="B1103" t="s">
        <v>668</v>
      </c>
      <c r="C1103" s="69">
        <v>43896</v>
      </c>
      <c r="D1103" s="28">
        <v>476.76100000000002</v>
      </c>
    </row>
    <row r="1104" spans="1:6" x14ac:dyDescent="0.25">
      <c r="A1104" t="s">
        <v>357</v>
      </c>
      <c r="B1104" t="s">
        <v>358</v>
      </c>
      <c r="C1104" s="69">
        <v>43896</v>
      </c>
      <c r="D1104" s="28">
        <v>2394.2950000000001</v>
      </c>
    </row>
    <row r="1105" spans="1:6" x14ac:dyDescent="0.25">
      <c r="A1105" t="s">
        <v>444</v>
      </c>
      <c r="B1105" t="s">
        <v>316</v>
      </c>
      <c r="C1105" s="69">
        <v>43897</v>
      </c>
      <c r="D1105" s="28">
        <v>1203.8399999999999</v>
      </c>
    </row>
    <row r="1106" spans="1:6" x14ac:dyDescent="0.25">
      <c r="A1106" t="s">
        <v>1029</v>
      </c>
      <c r="B1106" t="s">
        <v>662</v>
      </c>
      <c r="C1106" s="69">
        <v>43897</v>
      </c>
      <c r="D1106" s="28">
        <v>10000</v>
      </c>
      <c r="F1106" s="730"/>
    </row>
    <row r="1107" spans="1:6" x14ac:dyDescent="0.25">
      <c r="A1107" t="s">
        <v>511</v>
      </c>
      <c r="B1107" t="s">
        <v>512</v>
      </c>
      <c r="C1107" s="69">
        <v>43898</v>
      </c>
      <c r="D1107" s="28">
        <v>3400</v>
      </c>
    </row>
    <row r="1108" spans="1:6" x14ac:dyDescent="0.25">
      <c r="A1108" t="s">
        <v>304</v>
      </c>
      <c r="B1108" t="s">
        <v>305</v>
      </c>
      <c r="C1108" s="69">
        <v>43898</v>
      </c>
      <c r="D1108" s="28">
        <v>902.75</v>
      </c>
      <c r="F1108" s="730"/>
    </row>
    <row r="1109" spans="1:6" x14ac:dyDescent="0.25">
      <c r="A1109" t="s">
        <v>830</v>
      </c>
      <c r="B1109" t="s">
        <v>668</v>
      </c>
      <c r="C1109" s="69">
        <v>43898</v>
      </c>
      <c r="D1109" s="28">
        <v>1460</v>
      </c>
    </row>
    <row r="1110" spans="1:6" x14ac:dyDescent="0.25">
      <c r="A1110" t="s">
        <v>274</v>
      </c>
      <c r="B1110" t="s">
        <v>665</v>
      </c>
      <c r="C1110" s="69">
        <v>43899</v>
      </c>
      <c r="D1110" s="28">
        <v>3000</v>
      </c>
    </row>
    <row r="1111" spans="1:6" x14ac:dyDescent="0.25">
      <c r="A1111" t="s">
        <v>282</v>
      </c>
      <c r="B1111" t="s">
        <v>283</v>
      </c>
      <c r="C1111" s="69">
        <v>43899</v>
      </c>
      <c r="D1111" s="28">
        <v>2000</v>
      </c>
    </row>
    <row r="1112" spans="1:6" x14ac:dyDescent="0.25">
      <c r="A1112" t="s">
        <v>731</v>
      </c>
      <c r="B1112" t="s">
        <v>340</v>
      </c>
      <c r="C1112" s="69">
        <v>43899</v>
      </c>
      <c r="D1112" s="28">
        <v>1270</v>
      </c>
    </row>
    <row r="1113" spans="1:6" x14ac:dyDescent="0.25">
      <c r="A1113" t="s">
        <v>421</v>
      </c>
      <c r="B1113" t="s">
        <v>422</v>
      </c>
      <c r="C1113" s="69">
        <v>43900</v>
      </c>
      <c r="D1113" s="28">
        <v>4574.6769999999997</v>
      </c>
    </row>
    <row r="1114" spans="1:6" x14ac:dyDescent="0.25">
      <c r="A1114" t="s">
        <v>875</v>
      </c>
      <c r="B1114" t="s">
        <v>772</v>
      </c>
      <c r="C1114" s="69">
        <v>43900</v>
      </c>
      <c r="D1114" s="28">
        <v>976.46</v>
      </c>
    </row>
    <row r="1115" spans="1:6" x14ac:dyDescent="0.25">
      <c r="A1115" t="s">
        <v>332</v>
      </c>
      <c r="B1115" t="s">
        <v>333</v>
      </c>
      <c r="C1115" s="69">
        <v>43900</v>
      </c>
      <c r="D1115" s="28">
        <v>1000</v>
      </c>
    </row>
    <row r="1116" spans="1:6" x14ac:dyDescent="0.25">
      <c r="A1116" t="s">
        <v>1038</v>
      </c>
      <c r="B1116" t="s">
        <v>481</v>
      </c>
      <c r="C1116" s="69">
        <v>43900</v>
      </c>
      <c r="D1116" s="28">
        <v>3243.86</v>
      </c>
    </row>
    <row r="1117" spans="1:6" x14ac:dyDescent="0.25">
      <c r="A1117" t="s">
        <v>443</v>
      </c>
      <c r="B1117" t="s">
        <v>676</v>
      </c>
      <c r="C1117" s="69">
        <v>43900</v>
      </c>
      <c r="D1117" s="28">
        <v>2190.6289999999999</v>
      </c>
    </row>
    <row r="1118" spans="1:6" x14ac:dyDescent="0.25">
      <c r="A1118" t="s">
        <v>282</v>
      </c>
      <c r="B1118" t="s">
        <v>283</v>
      </c>
      <c r="C1118" s="69">
        <v>43900</v>
      </c>
      <c r="D1118" s="28">
        <v>1435</v>
      </c>
    </row>
    <row r="1119" spans="1:6" x14ac:dyDescent="0.25">
      <c r="A1119" t="s">
        <v>813</v>
      </c>
      <c r="B1119" t="s">
        <v>420</v>
      </c>
      <c r="C1119" s="69">
        <v>43900</v>
      </c>
      <c r="D1119" s="28">
        <v>1071.8779999999999</v>
      </c>
    </row>
    <row r="1120" spans="1:6" x14ac:dyDescent="0.25">
      <c r="A1120" t="s">
        <v>905</v>
      </c>
      <c r="B1120" t="s">
        <v>938</v>
      </c>
      <c r="C1120" s="69">
        <v>43900</v>
      </c>
      <c r="D1120" s="28">
        <v>1500</v>
      </c>
    </row>
    <row r="1121" spans="1:4" x14ac:dyDescent="0.25">
      <c r="A1121" t="s">
        <v>830</v>
      </c>
      <c r="B1121" t="s">
        <v>668</v>
      </c>
      <c r="C1121" s="69">
        <v>43900</v>
      </c>
      <c r="D1121" s="28">
        <v>1400</v>
      </c>
    </row>
    <row r="1122" spans="1:4" x14ac:dyDescent="0.25">
      <c r="A1122" t="s">
        <v>1138</v>
      </c>
      <c r="B1122" t="s">
        <v>430</v>
      </c>
      <c r="C1122" s="69">
        <v>43900</v>
      </c>
      <c r="D1122" s="28">
        <v>3801.7449999999999</v>
      </c>
    </row>
    <row r="1123" spans="1:4" x14ac:dyDescent="0.25">
      <c r="A1123" t="s">
        <v>1160</v>
      </c>
      <c r="B1123" t="s">
        <v>324</v>
      </c>
      <c r="C1123" s="69">
        <v>43900</v>
      </c>
      <c r="D1123" s="28">
        <v>1626.96</v>
      </c>
    </row>
    <row r="1124" spans="1:4" x14ac:dyDescent="0.25">
      <c r="A1124" t="s">
        <v>644</v>
      </c>
      <c r="B1124" t="s">
        <v>275</v>
      </c>
      <c r="C1124" s="69">
        <v>43900</v>
      </c>
      <c r="D1124" s="28">
        <v>2428.3850000000002</v>
      </c>
    </row>
    <row r="1125" spans="1:4" x14ac:dyDescent="0.25">
      <c r="A1125" t="s">
        <v>739</v>
      </c>
      <c r="B1125" t="s">
        <v>432</v>
      </c>
      <c r="C1125" s="69">
        <v>43900</v>
      </c>
      <c r="D1125" s="28">
        <v>1591.05</v>
      </c>
    </row>
    <row r="1126" spans="1:4" x14ac:dyDescent="0.25">
      <c r="A1126" t="s">
        <v>735</v>
      </c>
      <c r="B1126" t="s">
        <v>431</v>
      </c>
      <c r="C1126" s="69">
        <v>43900</v>
      </c>
      <c r="D1126" s="28">
        <v>790.78399999999999</v>
      </c>
    </row>
    <row r="1127" spans="1:4" x14ac:dyDescent="0.25">
      <c r="A1127" t="s">
        <v>882</v>
      </c>
      <c r="B1127" t="s">
        <v>672</v>
      </c>
      <c r="C1127" s="69">
        <v>43900</v>
      </c>
      <c r="D1127" s="28">
        <v>2707.627</v>
      </c>
    </row>
    <row r="1128" spans="1:4" x14ac:dyDescent="0.25">
      <c r="A1128" t="s">
        <v>930</v>
      </c>
      <c r="B1128" t="s">
        <v>708</v>
      </c>
      <c r="C1128" s="69">
        <v>43900</v>
      </c>
      <c r="D1128" s="28">
        <v>2154.7220000000002</v>
      </c>
    </row>
    <row r="1129" spans="1:4" x14ac:dyDescent="0.25">
      <c r="A1129" t="s">
        <v>1339</v>
      </c>
      <c r="B1129" t="s">
        <v>563</v>
      </c>
      <c r="C1129" s="69">
        <v>43900</v>
      </c>
      <c r="D1129" s="28">
        <v>9808.9760000000006</v>
      </c>
    </row>
    <row r="1130" spans="1:4" x14ac:dyDescent="0.25">
      <c r="A1130" t="s">
        <v>994</v>
      </c>
      <c r="B1130" t="s">
        <v>366</v>
      </c>
      <c r="C1130" s="69">
        <v>43900</v>
      </c>
      <c r="D1130" s="28">
        <v>1145.232</v>
      </c>
    </row>
    <row r="1131" spans="1:4" x14ac:dyDescent="0.25">
      <c r="A1131" t="s">
        <v>767</v>
      </c>
      <c r="B1131" t="s">
        <v>747</v>
      </c>
      <c r="C1131" s="69">
        <v>43900</v>
      </c>
      <c r="D1131" s="28">
        <v>1401.0070000000001</v>
      </c>
    </row>
    <row r="1132" spans="1:4" x14ac:dyDescent="0.25">
      <c r="A1132" t="s">
        <v>1436</v>
      </c>
      <c r="B1132" t="s">
        <v>1086</v>
      </c>
      <c r="C1132" s="69">
        <v>43900</v>
      </c>
      <c r="D1132" s="28">
        <v>468.73399999999998</v>
      </c>
    </row>
    <row r="1133" spans="1:4" x14ac:dyDescent="0.25">
      <c r="A1133" t="s">
        <v>1435</v>
      </c>
      <c r="B1133" t="s">
        <v>936</v>
      </c>
      <c r="C1133" s="69">
        <v>43900</v>
      </c>
      <c r="D1133" s="28">
        <v>6300.4759999999997</v>
      </c>
    </row>
    <row r="1134" spans="1:4" x14ac:dyDescent="0.25">
      <c r="A1134" t="s">
        <v>797</v>
      </c>
      <c r="B1134" t="s">
        <v>400</v>
      </c>
      <c r="C1134" s="69">
        <v>43900</v>
      </c>
      <c r="D1134" s="28">
        <v>970.005</v>
      </c>
    </row>
    <row r="1135" spans="1:4" x14ac:dyDescent="0.25">
      <c r="A1135" t="s">
        <v>1434</v>
      </c>
      <c r="B1135" t="s">
        <v>353</v>
      </c>
      <c r="C1135" s="69">
        <v>43900</v>
      </c>
      <c r="D1135" s="28">
        <v>1126</v>
      </c>
    </row>
    <row r="1136" spans="1:4" x14ac:dyDescent="0.25">
      <c r="A1136" t="s">
        <v>434</v>
      </c>
      <c r="B1136" t="s">
        <v>412</v>
      </c>
      <c r="C1136" s="69">
        <v>43900</v>
      </c>
      <c r="D1136" s="28">
        <v>6638.9430000000002</v>
      </c>
    </row>
    <row r="1137" spans="1:4" x14ac:dyDescent="0.25">
      <c r="A1137" t="s">
        <v>347</v>
      </c>
      <c r="B1137" t="s">
        <v>348</v>
      </c>
      <c r="C1137" s="69">
        <v>43900</v>
      </c>
      <c r="D1137" s="28">
        <v>4257.2209999999995</v>
      </c>
    </row>
    <row r="1138" spans="1:4" x14ac:dyDescent="0.25">
      <c r="A1138" t="s">
        <v>425</v>
      </c>
      <c r="B1138" t="s">
        <v>426</v>
      </c>
      <c r="C1138" s="69">
        <v>43900</v>
      </c>
      <c r="D1138" s="28">
        <v>4000</v>
      </c>
    </row>
    <row r="1139" spans="1:4" x14ac:dyDescent="0.25">
      <c r="A1139" t="s">
        <v>297</v>
      </c>
      <c r="B1139" t="s">
        <v>298</v>
      </c>
      <c r="C1139" s="69">
        <v>43900</v>
      </c>
      <c r="D1139" s="28">
        <v>1533.8810000000001</v>
      </c>
    </row>
    <row r="1140" spans="1:4" x14ac:dyDescent="0.25">
      <c r="A1140" t="s">
        <v>328</v>
      </c>
      <c r="B1140" t="s">
        <v>329</v>
      </c>
      <c r="C1140" s="69">
        <v>43900</v>
      </c>
      <c r="D1140" s="28">
        <v>1053.2719999999999</v>
      </c>
    </row>
    <row r="1141" spans="1:4" x14ac:dyDescent="0.25">
      <c r="A1141" t="s">
        <v>1161</v>
      </c>
      <c r="B1141" t="s">
        <v>678</v>
      </c>
      <c r="C1141" s="69">
        <v>43900</v>
      </c>
      <c r="D1141" s="28">
        <v>2002.741</v>
      </c>
    </row>
    <row r="1142" spans="1:4" x14ac:dyDescent="0.25">
      <c r="A1142" t="s">
        <v>299</v>
      </c>
      <c r="B1142" t="s">
        <v>300</v>
      </c>
      <c r="C1142" s="69">
        <v>43900</v>
      </c>
      <c r="D1142" s="28">
        <v>1120.325</v>
      </c>
    </row>
    <row r="1143" spans="1:4" x14ac:dyDescent="0.25">
      <c r="A1143" t="s">
        <v>456</v>
      </c>
      <c r="B1143" t="s">
        <v>457</v>
      </c>
      <c r="C1143" s="69">
        <v>43900</v>
      </c>
      <c r="D1143" s="28">
        <v>2155.306</v>
      </c>
    </row>
    <row r="1144" spans="1:4" x14ac:dyDescent="0.25">
      <c r="A1144" t="s">
        <v>375</v>
      </c>
      <c r="B1144" t="s">
        <v>376</v>
      </c>
      <c r="C1144" s="69">
        <v>43900</v>
      </c>
      <c r="D1144" s="28">
        <v>1492.739</v>
      </c>
    </row>
    <row r="1145" spans="1:4" x14ac:dyDescent="0.25">
      <c r="A1145" t="s">
        <v>1242</v>
      </c>
      <c r="B1145" t="s">
        <v>598</v>
      </c>
      <c r="C1145" s="69">
        <v>43900</v>
      </c>
      <c r="D1145" s="28">
        <v>2249.9479999999999</v>
      </c>
    </row>
    <row r="1146" spans="1:4" x14ac:dyDescent="0.25">
      <c r="A1146" t="s">
        <v>336</v>
      </c>
      <c r="B1146" t="s">
        <v>337</v>
      </c>
      <c r="C1146" s="69">
        <v>43900</v>
      </c>
      <c r="D1146" s="28">
        <v>4000</v>
      </c>
    </row>
    <row r="1147" spans="1:4" x14ac:dyDescent="0.25">
      <c r="A1147" t="s">
        <v>795</v>
      </c>
      <c r="B1147" t="s">
        <v>805</v>
      </c>
      <c r="C1147" s="69">
        <v>43900</v>
      </c>
      <c r="D1147" s="28">
        <v>1850</v>
      </c>
    </row>
    <row r="1148" spans="1:4" x14ac:dyDescent="0.25">
      <c r="A1148" t="s">
        <v>1270</v>
      </c>
      <c r="B1148" t="s">
        <v>1269</v>
      </c>
      <c r="C1148" s="69">
        <v>43900</v>
      </c>
      <c r="D1148" s="28">
        <v>4006.797</v>
      </c>
    </row>
    <row r="1149" spans="1:4" x14ac:dyDescent="0.25">
      <c r="A1149" t="s">
        <v>301</v>
      </c>
      <c r="B1149" t="s">
        <v>302</v>
      </c>
      <c r="C1149" s="69">
        <v>43900</v>
      </c>
      <c r="D1149" s="28">
        <v>1750</v>
      </c>
    </row>
    <row r="1150" spans="1:4" x14ac:dyDescent="0.25">
      <c r="A1150" t="s">
        <v>282</v>
      </c>
      <c r="B1150" t="s">
        <v>283</v>
      </c>
      <c r="C1150" s="69">
        <v>43901</v>
      </c>
      <c r="D1150" s="28">
        <v>1435.42</v>
      </c>
    </row>
    <row r="1151" spans="1:4" x14ac:dyDescent="0.25">
      <c r="A1151" t="s">
        <v>731</v>
      </c>
      <c r="B1151" t="s">
        <v>340</v>
      </c>
      <c r="C1151" s="69">
        <v>43901</v>
      </c>
      <c r="D1151" s="28">
        <v>870</v>
      </c>
    </row>
    <row r="1152" spans="1:4" x14ac:dyDescent="0.25">
      <c r="A1152" t="s">
        <v>444</v>
      </c>
      <c r="B1152" t="s">
        <v>316</v>
      </c>
      <c r="C1152" s="69">
        <v>43901</v>
      </c>
      <c r="D1152" s="28">
        <v>1203.8399999999999</v>
      </c>
    </row>
    <row r="1153" spans="1:4" x14ac:dyDescent="0.25">
      <c r="A1153" t="s">
        <v>349</v>
      </c>
      <c r="B1153" t="s">
        <v>350</v>
      </c>
      <c r="C1153" s="69">
        <v>43901</v>
      </c>
      <c r="D1153" s="28">
        <v>1500</v>
      </c>
    </row>
    <row r="1154" spans="1:4" x14ac:dyDescent="0.25">
      <c r="A1154" t="s">
        <v>511</v>
      </c>
      <c r="B1154" t="s">
        <v>512</v>
      </c>
      <c r="C1154" s="69">
        <v>43902</v>
      </c>
      <c r="D1154" s="28">
        <v>2000</v>
      </c>
    </row>
    <row r="1155" spans="1:4" x14ac:dyDescent="0.25">
      <c r="A1155" t="s">
        <v>1433</v>
      </c>
      <c r="B1155" t="s">
        <v>439</v>
      </c>
      <c r="C1155" s="69">
        <v>43902</v>
      </c>
      <c r="D1155" s="28">
        <v>1736.146</v>
      </c>
    </row>
    <row r="1156" spans="1:4" x14ac:dyDescent="0.25">
      <c r="A1156" t="s">
        <v>270</v>
      </c>
      <c r="B1156" t="s">
        <v>666</v>
      </c>
      <c r="C1156" s="69">
        <v>43902</v>
      </c>
      <c r="D1156" s="28">
        <v>1700</v>
      </c>
    </row>
    <row r="1157" spans="1:4" x14ac:dyDescent="0.25">
      <c r="A1157" t="s">
        <v>292</v>
      </c>
      <c r="B1157" t="s">
        <v>293</v>
      </c>
      <c r="C1157" s="69">
        <v>43902</v>
      </c>
      <c r="D1157" s="28">
        <v>1629.039</v>
      </c>
    </row>
    <row r="1158" spans="1:4" x14ac:dyDescent="0.25">
      <c r="A1158" t="s">
        <v>330</v>
      </c>
      <c r="B1158" t="s">
        <v>331</v>
      </c>
      <c r="C1158" s="69">
        <v>43902</v>
      </c>
      <c r="D1158" s="28">
        <v>2200</v>
      </c>
    </row>
    <row r="1159" spans="1:4" x14ac:dyDescent="0.25">
      <c r="A1159" t="s">
        <v>334</v>
      </c>
      <c r="B1159" t="s">
        <v>335</v>
      </c>
      <c r="C1159" s="69">
        <v>43902</v>
      </c>
      <c r="D1159" s="28">
        <v>2213.165</v>
      </c>
    </row>
    <row r="1160" spans="1:4" x14ac:dyDescent="0.25">
      <c r="A1160" t="s">
        <v>791</v>
      </c>
      <c r="B1160" t="s">
        <v>803</v>
      </c>
      <c r="C1160" s="69">
        <v>43903</v>
      </c>
      <c r="D1160" s="28">
        <v>2500</v>
      </c>
    </row>
    <row r="1161" spans="1:4" x14ac:dyDescent="0.25">
      <c r="A1161" t="s">
        <v>304</v>
      </c>
      <c r="B1161" t="s">
        <v>305</v>
      </c>
      <c r="C1161" s="69">
        <v>43903</v>
      </c>
      <c r="D1161" s="28">
        <v>902.75</v>
      </c>
    </row>
    <row r="1162" spans="1:4" x14ac:dyDescent="0.25">
      <c r="A1162" t="s">
        <v>279</v>
      </c>
      <c r="B1162" t="s">
        <v>669</v>
      </c>
      <c r="C1162" s="69">
        <v>43903</v>
      </c>
      <c r="D1162" s="28">
        <v>1547</v>
      </c>
    </row>
    <row r="1163" spans="1:4" x14ac:dyDescent="0.25">
      <c r="A1163" t="s">
        <v>601</v>
      </c>
      <c r="B1163" t="s">
        <v>273</v>
      </c>
      <c r="C1163" s="69">
        <v>43903</v>
      </c>
      <c r="D1163" s="28">
        <v>1066.252</v>
      </c>
    </row>
    <row r="1164" spans="1:4" x14ac:dyDescent="0.25">
      <c r="A1164" t="s">
        <v>731</v>
      </c>
      <c r="B1164" t="s">
        <v>340</v>
      </c>
      <c r="C1164" s="69">
        <v>43903</v>
      </c>
      <c r="D1164" s="28">
        <v>873.99599999999998</v>
      </c>
    </row>
    <row r="1165" spans="1:4" x14ac:dyDescent="0.25">
      <c r="A1165" t="s">
        <v>815</v>
      </c>
      <c r="B1165" t="s">
        <v>814</v>
      </c>
      <c r="C1165" s="69">
        <v>43903</v>
      </c>
      <c r="D1165" s="28">
        <v>1150</v>
      </c>
    </row>
    <row r="1166" spans="1:4" x14ac:dyDescent="0.25">
      <c r="A1166" t="s">
        <v>336</v>
      </c>
      <c r="B1166" t="s">
        <v>337</v>
      </c>
      <c r="C1166" s="69">
        <v>43903</v>
      </c>
      <c r="D1166" s="28">
        <v>3500</v>
      </c>
    </row>
    <row r="1167" spans="1:4" x14ac:dyDescent="0.25">
      <c r="A1167" t="s">
        <v>482</v>
      </c>
      <c r="B1167" t="s">
        <v>483</v>
      </c>
      <c r="C1167" s="69">
        <v>43903</v>
      </c>
      <c r="D1167" s="28">
        <v>1730.481</v>
      </c>
    </row>
    <row r="1168" spans="1:4" x14ac:dyDescent="0.25">
      <c r="A1168" t="s">
        <v>511</v>
      </c>
      <c r="B1168" t="s">
        <v>512</v>
      </c>
      <c r="C1168" s="69">
        <v>43904</v>
      </c>
      <c r="D1168" s="28">
        <v>3400</v>
      </c>
    </row>
    <row r="1169" spans="1:4" x14ac:dyDescent="0.25">
      <c r="A1169" t="s">
        <v>389</v>
      </c>
      <c r="B1169" t="s">
        <v>390</v>
      </c>
      <c r="C1169" s="69">
        <v>43904</v>
      </c>
      <c r="D1169" s="28">
        <v>2594.1489999999999</v>
      </c>
    </row>
    <row r="1170" spans="1:4" x14ac:dyDescent="0.25">
      <c r="A1170" t="s">
        <v>315</v>
      </c>
      <c r="B1170" t="s">
        <v>316</v>
      </c>
      <c r="C1170" s="69">
        <v>43904</v>
      </c>
      <c r="D1170" s="28">
        <v>1287.1600000000001</v>
      </c>
    </row>
    <row r="1171" spans="1:4" x14ac:dyDescent="0.25">
      <c r="A1171" t="s">
        <v>1432</v>
      </c>
      <c r="B1171" t="s">
        <v>480</v>
      </c>
      <c r="C1171" s="69">
        <v>43904</v>
      </c>
      <c r="D1171" s="28">
        <v>4000</v>
      </c>
    </row>
    <row r="1172" spans="1:4" x14ac:dyDescent="0.25">
      <c r="A1172" t="s">
        <v>875</v>
      </c>
      <c r="B1172" t="s">
        <v>772</v>
      </c>
      <c r="C1172" s="69">
        <v>43905</v>
      </c>
      <c r="D1172" s="28">
        <v>976.46</v>
      </c>
    </row>
    <row r="1173" spans="1:4" x14ac:dyDescent="0.25">
      <c r="A1173" t="s">
        <v>332</v>
      </c>
      <c r="B1173" t="s">
        <v>333</v>
      </c>
      <c r="C1173" s="69">
        <v>43905</v>
      </c>
      <c r="D1173" s="28">
        <v>1000</v>
      </c>
    </row>
    <row r="1174" spans="1:4" x14ac:dyDescent="0.25">
      <c r="A1174" t="s">
        <v>274</v>
      </c>
      <c r="B1174" t="s">
        <v>665</v>
      </c>
      <c r="C1174" s="69">
        <v>43905</v>
      </c>
      <c r="D1174" s="28">
        <v>3000</v>
      </c>
    </row>
    <row r="1175" spans="1:4" x14ac:dyDescent="0.25">
      <c r="A1175" t="s">
        <v>308</v>
      </c>
      <c r="B1175" t="s">
        <v>309</v>
      </c>
      <c r="C1175" s="69">
        <v>43905</v>
      </c>
      <c r="D1175" s="28">
        <v>3149.9360000000001</v>
      </c>
    </row>
    <row r="1176" spans="1:4" x14ac:dyDescent="0.25">
      <c r="A1176" t="s">
        <v>1268</v>
      </c>
      <c r="B1176" t="s">
        <v>1267</v>
      </c>
      <c r="C1176" s="69">
        <v>43905</v>
      </c>
      <c r="D1176" s="28">
        <v>2142.1869999999999</v>
      </c>
    </row>
    <row r="1177" spans="1:4" x14ac:dyDescent="0.25">
      <c r="A1177" t="s">
        <v>271</v>
      </c>
      <c r="B1177" t="s">
        <v>272</v>
      </c>
      <c r="C1177" s="69">
        <v>43905</v>
      </c>
      <c r="D1177" s="28">
        <v>2814.32</v>
      </c>
    </row>
    <row r="1178" spans="1:4" x14ac:dyDescent="0.25">
      <c r="A1178" t="s">
        <v>306</v>
      </c>
      <c r="B1178" t="s">
        <v>307</v>
      </c>
      <c r="C1178" s="69">
        <v>43905</v>
      </c>
      <c r="D1178" s="28">
        <v>4000</v>
      </c>
    </row>
    <row r="1179" spans="1:4" x14ac:dyDescent="0.25">
      <c r="A1179" t="s">
        <v>308</v>
      </c>
      <c r="B1179" t="s">
        <v>309</v>
      </c>
      <c r="C1179" s="69">
        <v>43905</v>
      </c>
      <c r="D1179" s="28">
        <v>675.11599999999999</v>
      </c>
    </row>
    <row r="1180" spans="1:4" x14ac:dyDescent="0.25">
      <c r="A1180" t="s">
        <v>925</v>
      </c>
      <c r="B1180" t="s">
        <v>664</v>
      </c>
      <c r="C1180" s="69">
        <v>43905</v>
      </c>
      <c r="D1180" s="28">
        <v>5360.7120000000004</v>
      </c>
    </row>
    <row r="1181" spans="1:4" x14ac:dyDescent="0.25">
      <c r="A1181" t="s">
        <v>696</v>
      </c>
      <c r="B1181" t="s">
        <v>286</v>
      </c>
      <c r="C1181" s="69">
        <v>43905</v>
      </c>
      <c r="D1181" s="28">
        <v>7170.3239999999996</v>
      </c>
    </row>
    <row r="1182" spans="1:4" x14ac:dyDescent="0.25">
      <c r="A1182" t="s">
        <v>595</v>
      </c>
      <c r="B1182" t="s">
        <v>485</v>
      </c>
      <c r="C1182" s="69">
        <v>43905</v>
      </c>
      <c r="D1182" s="28">
        <v>5000</v>
      </c>
    </row>
    <row r="1183" spans="1:4" x14ac:dyDescent="0.25">
      <c r="A1183" t="s">
        <v>663</v>
      </c>
      <c r="B1183" t="s">
        <v>290</v>
      </c>
      <c r="C1183" s="69">
        <v>43905</v>
      </c>
      <c r="D1183" s="28">
        <v>7202.5810000000001</v>
      </c>
    </row>
    <row r="1184" spans="1:4" x14ac:dyDescent="0.25">
      <c r="A1184" t="s">
        <v>1089</v>
      </c>
      <c r="B1184" t="s">
        <v>1062</v>
      </c>
      <c r="C1184" s="69">
        <v>43905</v>
      </c>
      <c r="D1184" s="28">
        <v>1922.384</v>
      </c>
    </row>
    <row r="1185" spans="1:4" x14ac:dyDescent="0.25">
      <c r="A1185" t="s">
        <v>1089</v>
      </c>
      <c r="B1185" t="s">
        <v>1062</v>
      </c>
      <c r="C1185" s="69">
        <v>43905</v>
      </c>
      <c r="D1185" s="28">
        <v>98.835999999999999</v>
      </c>
    </row>
    <row r="1186" spans="1:4" x14ac:dyDescent="0.25">
      <c r="A1186" t="s">
        <v>639</v>
      </c>
      <c r="B1186" t="s">
        <v>403</v>
      </c>
      <c r="C1186" s="69">
        <v>43905</v>
      </c>
      <c r="D1186" s="28">
        <v>624.22500000000002</v>
      </c>
    </row>
    <row r="1187" spans="1:4" x14ac:dyDescent="0.25">
      <c r="A1187" t="s">
        <v>1160</v>
      </c>
      <c r="B1187" t="s">
        <v>324</v>
      </c>
      <c r="C1187" s="69">
        <v>43905</v>
      </c>
      <c r="D1187" s="28">
        <v>1626.96</v>
      </c>
    </row>
    <row r="1188" spans="1:4" x14ac:dyDescent="0.25">
      <c r="A1188" t="s">
        <v>932</v>
      </c>
      <c r="B1188" t="s">
        <v>472</v>
      </c>
      <c r="C1188" s="69">
        <v>43905</v>
      </c>
      <c r="D1188" s="28">
        <v>1697.489</v>
      </c>
    </row>
    <row r="1189" spans="1:4" x14ac:dyDescent="0.25">
      <c r="A1189" t="s">
        <v>294</v>
      </c>
      <c r="B1189" t="s">
        <v>295</v>
      </c>
      <c r="C1189" s="69">
        <v>43905</v>
      </c>
      <c r="D1189" s="28">
        <v>1000</v>
      </c>
    </row>
    <row r="1190" spans="1:4" x14ac:dyDescent="0.25">
      <c r="A1190" t="s">
        <v>618</v>
      </c>
      <c r="B1190" t="s">
        <v>286</v>
      </c>
      <c r="C1190" s="69">
        <v>43905</v>
      </c>
      <c r="D1190" s="28">
        <v>6000</v>
      </c>
    </row>
    <row r="1191" spans="1:4" x14ac:dyDescent="0.25">
      <c r="A1191" t="s">
        <v>1029</v>
      </c>
      <c r="B1191" t="s">
        <v>662</v>
      </c>
      <c r="C1191" s="69">
        <v>43905</v>
      </c>
      <c r="D1191" s="28">
        <v>13234.736000000001</v>
      </c>
    </row>
    <row r="1192" spans="1:4" x14ac:dyDescent="0.25">
      <c r="A1192" t="s">
        <v>354</v>
      </c>
      <c r="B1192" t="s">
        <v>355</v>
      </c>
      <c r="C1192" s="69">
        <v>43905</v>
      </c>
      <c r="D1192" s="28">
        <v>3000</v>
      </c>
    </row>
    <row r="1193" spans="1:4" x14ac:dyDescent="0.25">
      <c r="A1193" t="s">
        <v>776</v>
      </c>
      <c r="B1193" t="s">
        <v>327</v>
      </c>
      <c r="C1193" s="69">
        <v>43905</v>
      </c>
      <c r="D1193" s="28">
        <v>2345.0770000000002</v>
      </c>
    </row>
    <row r="1194" spans="1:4" x14ac:dyDescent="0.25">
      <c r="A1194" t="s">
        <v>1266</v>
      </c>
      <c r="B1194" t="s">
        <v>510</v>
      </c>
      <c r="C1194" s="69">
        <v>43905</v>
      </c>
      <c r="D1194" s="28">
        <v>1035.6479999999999</v>
      </c>
    </row>
    <row r="1195" spans="1:4" x14ac:dyDescent="0.25">
      <c r="A1195" t="s">
        <v>801</v>
      </c>
      <c r="B1195" t="s">
        <v>291</v>
      </c>
      <c r="C1195" s="69">
        <v>43905</v>
      </c>
      <c r="D1195" s="28">
        <v>5130</v>
      </c>
    </row>
    <row r="1196" spans="1:4" x14ac:dyDescent="0.25">
      <c r="A1196" t="s">
        <v>754</v>
      </c>
      <c r="B1196" t="s">
        <v>448</v>
      </c>
      <c r="C1196" s="69">
        <v>43905</v>
      </c>
      <c r="D1196" s="28">
        <v>5583.3069999999998</v>
      </c>
    </row>
    <row r="1197" spans="1:4" x14ac:dyDescent="0.25">
      <c r="A1197" t="s">
        <v>434</v>
      </c>
      <c r="B1197" t="s">
        <v>412</v>
      </c>
      <c r="C1197" s="69">
        <v>43905</v>
      </c>
      <c r="D1197" s="28">
        <v>2115.2089999999998</v>
      </c>
    </row>
    <row r="1198" spans="1:4" x14ac:dyDescent="0.25">
      <c r="A1198" t="s">
        <v>452</v>
      </c>
      <c r="B1198" t="s">
        <v>453</v>
      </c>
      <c r="C1198" s="69">
        <v>43905</v>
      </c>
      <c r="D1198" s="28">
        <v>1838.1980000000001</v>
      </c>
    </row>
    <row r="1199" spans="1:4" x14ac:dyDescent="0.25">
      <c r="A1199" t="s">
        <v>450</v>
      </c>
      <c r="B1199" t="s">
        <v>451</v>
      </c>
      <c r="C1199" s="69">
        <v>43905</v>
      </c>
      <c r="D1199" s="28">
        <v>2051.174</v>
      </c>
    </row>
    <row r="1200" spans="1:4" x14ac:dyDescent="0.25">
      <c r="A1200" t="s">
        <v>330</v>
      </c>
      <c r="B1200" t="s">
        <v>331</v>
      </c>
      <c r="C1200" s="69">
        <v>43905</v>
      </c>
      <c r="D1200" s="28">
        <v>3285.0720000000001</v>
      </c>
    </row>
    <row r="1201" spans="1:4" x14ac:dyDescent="0.25">
      <c r="A1201" t="s">
        <v>437</v>
      </c>
      <c r="B1201" t="s">
        <v>438</v>
      </c>
      <c r="C1201" s="69">
        <v>43905</v>
      </c>
      <c r="D1201" s="28">
        <v>3400</v>
      </c>
    </row>
    <row r="1202" spans="1:4" x14ac:dyDescent="0.25">
      <c r="A1202" t="s">
        <v>301</v>
      </c>
      <c r="B1202" t="s">
        <v>302</v>
      </c>
      <c r="C1202" s="69">
        <v>43905</v>
      </c>
      <c r="D1202" s="28">
        <v>1750</v>
      </c>
    </row>
    <row r="1203" spans="1:4" x14ac:dyDescent="0.25">
      <c r="A1203" t="s">
        <v>511</v>
      </c>
      <c r="B1203" t="s">
        <v>512</v>
      </c>
      <c r="C1203" s="69">
        <v>43907</v>
      </c>
      <c r="D1203" s="28">
        <v>3396.6460000000002</v>
      </c>
    </row>
    <row r="1204" spans="1:4" x14ac:dyDescent="0.25">
      <c r="A1204" t="s">
        <v>304</v>
      </c>
      <c r="B1204" t="s">
        <v>305</v>
      </c>
      <c r="C1204" s="69">
        <v>43907</v>
      </c>
      <c r="D1204" s="28">
        <v>902.75</v>
      </c>
    </row>
    <row r="1205" spans="1:4" x14ac:dyDescent="0.25">
      <c r="A1205" t="s">
        <v>270</v>
      </c>
      <c r="B1205" t="s">
        <v>666</v>
      </c>
      <c r="C1205" s="69">
        <v>43907</v>
      </c>
      <c r="D1205" s="28">
        <v>1609.5119999999999</v>
      </c>
    </row>
    <row r="1206" spans="1:4" x14ac:dyDescent="0.25">
      <c r="A1206" t="s">
        <v>292</v>
      </c>
      <c r="B1206" t="s">
        <v>293</v>
      </c>
      <c r="C1206" s="69">
        <v>43907</v>
      </c>
      <c r="D1206" s="28">
        <v>1629.04</v>
      </c>
    </row>
    <row r="1207" spans="1:4" x14ac:dyDescent="0.25">
      <c r="A1207" t="s">
        <v>1089</v>
      </c>
      <c r="B1207" t="s">
        <v>1062</v>
      </c>
      <c r="C1207" s="69">
        <v>43907</v>
      </c>
      <c r="D1207" s="28">
        <v>523.11900000000003</v>
      </c>
    </row>
    <row r="1208" spans="1:4" x14ac:dyDescent="0.25">
      <c r="A1208" t="s">
        <v>792</v>
      </c>
      <c r="B1208" t="s">
        <v>371</v>
      </c>
      <c r="C1208" s="69">
        <v>43907</v>
      </c>
      <c r="D1208" s="28">
        <v>7198.7870000000003</v>
      </c>
    </row>
    <row r="1209" spans="1:4" x14ac:dyDescent="0.25">
      <c r="A1209" t="s">
        <v>336</v>
      </c>
      <c r="B1209" t="s">
        <v>337</v>
      </c>
      <c r="C1209" s="69">
        <v>43907</v>
      </c>
      <c r="D1209" s="28">
        <v>3800</v>
      </c>
    </row>
    <row r="1210" spans="1:4" x14ac:dyDescent="0.25">
      <c r="A1210" t="s">
        <v>566</v>
      </c>
      <c r="B1210" t="s">
        <v>565</v>
      </c>
      <c r="C1210" s="69">
        <v>43907</v>
      </c>
      <c r="D1210" s="28">
        <v>6000</v>
      </c>
    </row>
    <row r="1211" spans="1:4" x14ac:dyDescent="0.25">
      <c r="A1211" t="s">
        <v>304</v>
      </c>
      <c r="B1211" t="s">
        <v>305</v>
      </c>
      <c r="C1211" s="69">
        <v>43908</v>
      </c>
      <c r="D1211" s="28">
        <v>902.75</v>
      </c>
    </row>
    <row r="1212" spans="1:4" x14ac:dyDescent="0.25">
      <c r="A1212" t="s">
        <v>279</v>
      </c>
      <c r="B1212" t="s">
        <v>669</v>
      </c>
      <c r="C1212" s="69">
        <v>43908</v>
      </c>
      <c r="D1212" s="28">
        <v>1553</v>
      </c>
    </row>
    <row r="1213" spans="1:4" x14ac:dyDescent="0.25">
      <c r="A1213" t="s">
        <v>1337</v>
      </c>
      <c r="B1213" t="s">
        <v>782</v>
      </c>
      <c r="C1213" s="69">
        <v>43908</v>
      </c>
      <c r="D1213" s="28">
        <v>463.82600000000002</v>
      </c>
    </row>
    <row r="1214" spans="1:4" x14ac:dyDescent="0.25">
      <c r="A1214" t="s">
        <v>511</v>
      </c>
      <c r="B1214" t="s">
        <v>512</v>
      </c>
      <c r="C1214" s="69">
        <v>43909</v>
      </c>
      <c r="D1214" s="28">
        <v>3350</v>
      </c>
    </row>
    <row r="1215" spans="1:4" x14ac:dyDescent="0.25">
      <c r="A1215" t="s">
        <v>315</v>
      </c>
      <c r="B1215" t="s">
        <v>316</v>
      </c>
      <c r="C1215" s="69">
        <v>43909</v>
      </c>
      <c r="D1215" s="28">
        <v>1287.1600000000001</v>
      </c>
    </row>
    <row r="1216" spans="1:4" x14ac:dyDescent="0.25">
      <c r="A1216" t="s">
        <v>875</v>
      </c>
      <c r="B1216" t="s">
        <v>772</v>
      </c>
      <c r="C1216" s="69">
        <v>43910</v>
      </c>
      <c r="D1216" s="28">
        <v>976.46299999999997</v>
      </c>
    </row>
    <row r="1217" spans="1:4" x14ac:dyDescent="0.25">
      <c r="A1217" t="s">
        <v>502</v>
      </c>
      <c r="B1217" t="s">
        <v>507</v>
      </c>
      <c r="C1217" s="69">
        <v>43910</v>
      </c>
      <c r="D1217" s="28">
        <v>3800</v>
      </c>
    </row>
    <row r="1218" spans="1:4" x14ac:dyDescent="0.25">
      <c r="A1218" t="s">
        <v>1160</v>
      </c>
      <c r="B1218" t="s">
        <v>324</v>
      </c>
      <c r="C1218" s="69">
        <v>43910</v>
      </c>
      <c r="D1218" s="28">
        <v>1626.96</v>
      </c>
    </row>
    <row r="1219" spans="1:4" x14ac:dyDescent="0.25">
      <c r="A1219" t="s">
        <v>667</v>
      </c>
      <c r="B1219" t="s">
        <v>368</v>
      </c>
      <c r="C1219" s="69">
        <v>43910</v>
      </c>
      <c r="D1219" s="28">
        <v>5821.6760000000004</v>
      </c>
    </row>
    <row r="1220" spans="1:4" x14ac:dyDescent="0.25">
      <c r="A1220" t="s">
        <v>294</v>
      </c>
      <c r="B1220" t="s">
        <v>295</v>
      </c>
      <c r="C1220" s="69">
        <v>43910</v>
      </c>
      <c r="D1220" s="28">
        <v>550</v>
      </c>
    </row>
    <row r="1221" spans="1:4" x14ac:dyDescent="0.25">
      <c r="A1221" t="s">
        <v>1029</v>
      </c>
      <c r="B1221" t="s">
        <v>662</v>
      </c>
      <c r="C1221" s="69">
        <v>43910</v>
      </c>
      <c r="D1221" s="28">
        <v>10000</v>
      </c>
    </row>
    <row r="1222" spans="1:4" x14ac:dyDescent="0.25">
      <c r="A1222" t="s">
        <v>330</v>
      </c>
      <c r="B1222" t="s">
        <v>331</v>
      </c>
      <c r="C1222" s="69">
        <v>43910</v>
      </c>
      <c r="D1222" s="28">
        <v>2200</v>
      </c>
    </row>
    <row r="1223" spans="1:4" x14ac:dyDescent="0.25">
      <c r="A1223" t="s">
        <v>299</v>
      </c>
      <c r="B1223" t="s">
        <v>300</v>
      </c>
      <c r="C1223" s="69">
        <v>43910</v>
      </c>
      <c r="D1223" s="28">
        <v>2084.1109999999999</v>
      </c>
    </row>
    <row r="1224" spans="1:4" x14ac:dyDescent="0.25">
      <c r="A1224" t="s">
        <v>336</v>
      </c>
      <c r="B1224" t="s">
        <v>337</v>
      </c>
      <c r="C1224" s="69">
        <v>43910</v>
      </c>
      <c r="D1224" s="28">
        <v>3800</v>
      </c>
    </row>
    <row r="1225" spans="1:4" x14ac:dyDescent="0.25">
      <c r="A1225" t="s">
        <v>778</v>
      </c>
      <c r="B1225" t="s">
        <v>793</v>
      </c>
      <c r="C1225" s="69">
        <v>43910</v>
      </c>
      <c r="D1225" s="28">
        <v>189.959</v>
      </c>
    </row>
    <row r="1226" spans="1:4" x14ac:dyDescent="0.25">
      <c r="A1226" t="s">
        <v>410</v>
      </c>
      <c r="B1226" t="s">
        <v>411</v>
      </c>
      <c r="C1226" s="69">
        <v>43910</v>
      </c>
      <c r="D1226" s="28">
        <v>1226.8630000000001</v>
      </c>
    </row>
    <row r="1227" spans="1:4" x14ac:dyDescent="0.25">
      <c r="A1227" t="s">
        <v>795</v>
      </c>
      <c r="B1227" t="s">
        <v>805</v>
      </c>
      <c r="C1227" s="69">
        <v>43910</v>
      </c>
      <c r="D1227" s="28">
        <v>1800</v>
      </c>
    </row>
    <row r="1228" spans="1:4" x14ac:dyDescent="0.25">
      <c r="A1228" t="s">
        <v>301</v>
      </c>
      <c r="B1228" t="s">
        <v>302</v>
      </c>
      <c r="C1228" s="69">
        <v>43910</v>
      </c>
      <c r="D1228" s="28">
        <v>1750</v>
      </c>
    </row>
    <row r="1229" spans="1:4" x14ac:dyDescent="0.25">
      <c r="A1229" t="s">
        <v>304</v>
      </c>
      <c r="B1229" t="s">
        <v>305</v>
      </c>
      <c r="C1229" s="69">
        <v>43911</v>
      </c>
      <c r="D1229" s="28">
        <v>902.75</v>
      </c>
    </row>
    <row r="1230" spans="1:4" x14ac:dyDescent="0.25">
      <c r="A1230" t="s">
        <v>349</v>
      </c>
      <c r="B1230" t="s">
        <v>350</v>
      </c>
      <c r="C1230" s="69">
        <v>43911</v>
      </c>
      <c r="D1230" s="28">
        <v>1500</v>
      </c>
    </row>
    <row r="1231" spans="1:4" x14ac:dyDescent="0.25">
      <c r="A1231" t="s">
        <v>546</v>
      </c>
      <c r="B1231" t="s">
        <v>553</v>
      </c>
      <c r="C1231" s="69">
        <v>43911</v>
      </c>
      <c r="D1231" s="28">
        <v>10678.117</v>
      </c>
    </row>
    <row r="1232" spans="1:4" x14ac:dyDescent="0.25">
      <c r="A1232" t="s">
        <v>441</v>
      </c>
      <c r="B1232" t="s">
        <v>442</v>
      </c>
      <c r="C1232" s="69">
        <v>43912</v>
      </c>
      <c r="D1232" s="28">
        <v>3585.26</v>
      </c>
    </row>
    <row r="1233" spans="1:4" x14ac:dyDescent="0.25">
      <c r="A1233" t="s">
        <v>292</v>
      </c>
      <c r="B1233" t="s">
        <v>293</v>
      </c>
      <c r="C1233" s="69">
        <v>43912</v>
      </c>
      <c r="D1233" s="28">
        <v>1715.7070000000001</v>
      </c>
    </row>
    <row r="1234" spans="1:4" x14ac:dyDescent="0.25">
      <c r="A1234" t="s">
        <v>791</v>
      </c>
      <c r="B1234" t="s">
        <v>803</v>
      </c>
      <c r="C1234" s="69">
        <v>43913</v>
      </c>
      <c r="D1234" s="28">
        <v>2500</v>
      </c>
    </row>
    <row r="1235" spans="1:4" x14ac:dyDescent="0.25">
      <c r="A1235" t="s">
        <v>731</v>
      </c>
      <c r="B1235" t="s">
        <v>340</v>
      </c>
      <c r="C1235" s="69">
        <v>43913</v>
      </c>
      <c r="D1235" s="28">
        <v>1000</v>
      </c>
    </row>
    <row r="1236" spans="1:4" x14ac:dyDescent="0.25">
      <c r="A1236" t="s">
        <v>315</v>
      </c>
      <c r="B1236" t="s">
        <v>316</v>
      </c>
      <c r="C1236" s="69">
        <v>43913</v>
      </c>
      <c r="D1236" s="28">
        <v>1287.1600000000001</v>
      </c>
    </row>
    <row r="1237" spans="1:4" x14ac:dyDescent="0.25">
      <c r="A1237" t="s">
        <v>270</v>
      </c>
      <c r="B1237" t="s">
        <v>666</v>
      </c>
      <c r="C1237" s="69">
        <v>43913</v>
      </c>
      <c r="D1237" s="28">
        <v>2100</v>
      </c>
    </row>
    <row r="1238" spans="1:4" x14ac:dyDescent="0.25">
      <c r="A1238" t="s">
        <v>1246</v>
      </c>
      <c r="B1238" t="s">
        <v>584</v>
      </c>
      <c r="C1238" s="69">
        <v>43913</v>
      </c>
      <c r="D1238" s="28">
        <v>1528.3720000000001</v>
      </c>
    </row>
    <row r="1239" spans="1:4" x14ac:dyDescent="0.25">
      <c r="A1239" t="s">
        <v>425</v>
      </c>
      <c r="B1239" t="s">
        <v>426</v>
      </c>
      <c r="C1239" s="69">
        <v>43913</v>
      </c>
      <c r="D1239" s="28">
        <v>4000</v>
      </c>
    </row>
    <row r="1240" spans="1:4" x14ac:dyDescent="0.25">
      <c r="A1240" t="s">
        <v>511</v>
      </c>
      <c r="B1240" t="s">
        <v>512</v>
      </c>
      <c r="C1240" s="69">
        <v>43914</v>
      </c>
      <c r="D1240" s="28">
        <v>3350</v>
      </c>
    </row>
    <row r="1241" spans="1:4" x14ac:dyDescent="0.25">
      <c r="A1241" t="s">
        <v>905</v>
      </c>
      <c r="B1241" t="s">
        <v>938</v>
      </c>
      <c r="C1241" s="69">
        <v>43914</v>
      </c>
      <c r="D1241" s="28">
        <v>2000</v>
      </c>
    </row>
    <row r="1242" spans="1:4" x14ac:dyDescent="0.25">
      <c r="A1242" t="s">
        <v>304</v>
      </c>
      <c r="B1242" t="s">
        <v>305</v>
      </c>
      <c r="C1242" s="69">
        <v>43914</v>
      </c>
      <c r="D1242" s="28">
        <v>902.88499999999999</v>
      </c>
    </row>
    <row r="1243" spans="1:4" x14ac:dyDescent="0.25">
      <c r="A1243" t="s">
        <v>279</v>
      </c>
      <c r="B1243" t="s">
        <v>669</v>
      </c>
      <c r="C1243" s="69">
        <v>43914</v>
      </c>
      <c r="D1243" s="28">
        <v>1560</v>
      </c>
    </row>
    <row r="1244" spans="1:4" x14ac:dyDescent="0.25">
      <c r="A1244" t="s">
        <v>336</v>
      </c>
      <c r="B1244" t="s">
        <v>337</v>
      </c>
      <c r="C1244" s="69">
        <v>43914</v>
      </c>
      <c r="D1244" s="28">
        <v>4000</v>
      </c>
    </row>
    <row r="1245" spans="1:4" x14ac:dyDescent="0.25">
      <c r="A1245" t="s">
        <v>875</v>
      </c>
      <c r="B1245" t="s">
        <v>772</v>
      </c>
      <c r="C1245" s="69">
        <v>43915</v>
      </c>
      <c r="D1245" s="28">
        <v>976.46</v>
      </c>
    </row>
    <row r="1246" spans="1:4" x14ac:dyDescent="0.25">
      <c r="A1246" t="s">
        <v>875</v>
      </c>
      <c r="B1246" t="s">
        <v>772</v>
      </c>
      <c r="C1246" s="69">
        <v>43915</v>
      </c>
      <c r="D1246" s="28">
        <v>976.46</v>
      </c>
    </row>
    <row r="1247" spans="1:4" x14ac:dyDescent="0.25">
      <c r="A1247" t="s">
        <v>1038</v>
      </c>
      <c r="B1247" t="s">
        <v>481</v>
      </c>
      <c r="C1247" s="69">
        <v>43915</v>
      </c>
      <c r="D1247" s="28">
        <v>2000</v>
      </c>
    </row>
    <row r="1248" spans="1:4" x14ac:dyDescent="0.25">
      <c r="A1248" t="s">
        <v>306</v>
      </c>
      <c r="B1248" t="s">
        <v>307</v>
      </c>
      <c r="C1248" s="69">
        <v>43915</v>
      </c>
      <c r="D1248" s="28">
        <v>4000</v>
      </c>
    </row>
    <row r="1249" spans="1:4" x14ac:dyDescent="0.25">
      <c r="A1249" t="s">
        <v>925</v>
      </c>
      <c r="B1249" t="s">
        <v>664</v>
      </c>
      <c r="C1249" s="69">
        <v>43915</v>
      </c>
      <c r="D1249" s="28">
        <v>4820.1580000000004</v>
      </c>
    </row>
    <row r="1250" spans="1:4" x14ac:dyDescent="0.25">
      <c r="A1250" t="s">
        <v>731</v>
      </c>
      <c r="B1250" t="s">
        <v>340</v>
      </c>
      <c r="C1250" s="69">
        <v>43915</v>
      </c>
      <c r="D1250" s="28">
        <v>1280</v>
      </c>
    </row>
    <row r="1251" spans="1:4" x14ac:dyDescent="0.25">
      <c r="A1251" t="s">
        <v>561</v>
      </c>
      <c r="B1251" t="s">
        <v>341</v>
      </c>
      <c r="C1251" s="69">
        <v>43915</v>
      </c>
      <c r="D1251" s="28">
        <v>3671.5</v>
      </c>
    </row>
    <row r="1252" spans="1:4" x14ac:dyDescent="0.25">
      <c r="A1252" t="s">
        <v>1432</v>
      </c>
      <c r="B1252" t="s">
        <v>480</v>
      </c>
      <c r="C1252" s="69">
        <v>43915</v>
      </c>
      <c r="D1252" s="28">
        <v>4461.0050000000001</v>
      </c>
    </row>
    <row r="1253" spans="1:4" x14ac:dyDescent="0.25">
      <c r="A1253" t="s">
        <v>330</v>
      </c>
      <c r="B1253" t="s">
        <v>331</v>
      </c>
      <c r="C1253" s="69">
        <v>43915</v>
      </c>
      <c r="D1253" s="28">
        <v>2332.806</v>
      </c>
    </row>
    <row r="1254" spans="1:4" x14ac:dyDescent="0.25">
      <c r="A1254" t="s">
        <v>753</v>
      </c>
      <c r="B1254" t="s">
        <v>458</v>
      </c>
      <c r="C1254" s="69">
        <v>43915</v>
      </c>
      <c r="D1254" s="28">
        <v>2230.5129999999999</v>
      </c>
    </row>
    <row r="1255" spans="1:4" x14ac:dyDescent="0.25">
      <c r="A1255" t="s">
        <v>342</v>
      </c>
      <c r="B1255" t="s">
        <v>343</v>
      </c>
      <c r="C1255" s="69">
        <v>43915</v>
      </c>
      <c r="D1255" s="28">
        <v>3000</v>
      </c>
    </row>
    <row r="1256" spans="1:4" x14ac:dyDescent="0.25">
      <c r="A1256" t="s">
        <v>347</v>
      </c>
      <c r="B1256" t="s">
        <v>348</v>
      </c>
      <c r="C1256" s="69">
        <v>43915</v>
      </c>
      <c r="D1256" s="28">
        <v>6000</v>
      </c>
    </row>
    <row r="1257" spans="1:4" x14ac:dyDescent="0.25">
      <c r="A1257" t="s">
        <v>301</v>
      </c>
      <c r="B1257" t="s">
        <v>302</v>
      </c>
      <c r="C1257" s="69">
        <v>43915</v>
      </c>
      <c r="D1257" s="28">
        <v>1750</v>
      </c>
    </row>
    <row r="1258" spans="1:4" x14ac:dyDescent="0.25">
      <c r="A1258" t="s">
        <v>294</v>
      </c>
      <c r="B1258" t="s">
        <v>295</v>
      </c>
      <c r="C1258" s="69">
        <v>43916</v>
      </c>
      <c r="D1258" s="28">
        <v>2000</v>
      </c>
    </row>
    <row r="1259" spans="1:4" x14ac:dyDescent="0.25">
      <c r="A1259" t="s">
        <v>511</v>
      </c>
      <c r="B1259" t="s">
        <v>512</v>
      </c>
      <c r="C1259" s="69">
        <v>43917</v>
      </c>
      <c r="D1259" s="28">
        <v>2201.3310000000001</v>
      </c>
    </row>
    <row r="1260" spans="1:4" x14ac:dyDescent="0.25">
      <c r="A1260" t="s">
        <v>304</v>
      </c>
      <c r="B1260" t="s">
        <v>305</v>
      </c>
      <c r="C1260" s="69">
        <v>43917</v>
      </c>
      <c r="D1260" s="28">
        <v>902.75</v>
      </c>
    </row>
    <row r="1261" spans="1:4" x14ac:dyDescent="0.25">
      <c r="A1261" t="s">
        <v>731</v>
      </c>
      <c r="B1261" t="s">
        <v>340</v>
      </c>
      <c r="C1261" s="69">
        <v>43917</v>
      </c>
      <c r="D1261" s="28">
        <v>1285</v>
      </c>
    </row>
    <row r="1262" spans="1:4" x14ac:dyDescent="0.25">
      <c r="A1262" t="s">
        <v>315</v>
      </c>
      <c r="B1262" t="s">
        <v>316</v>
      </c>
      <c r="C1262" s="69">
        <v>43917</v>
      </c>
      <c r="D1262" s="28">
        <v>1287.1600000000001</v>
      </c>
    </row>
    <row r="1263" spans="1:4" x14ac:dyDescent="0.25">
      <c r="A1263" t="s">
        <v>292</v>
      </c>
      <c r="B1263" t="s">
        <v>293</v>
      </c>
      <c r="C1263" s="69">
        <v>43917</v>
      </c>
      <c r="D1263" s="28">
        <v>1715.7080000000001</v>
      </c>
    </row>
    <row r="1264" spans="1:4" x14ac:dyDescent="0.25">
      <c r="A1264" t="s">
        <v>336</v>
      </c>
      <c r="B1264" t="s">
        <v>337</v>
      </c>
      <c r="C1264" s="69">
        <v>43917</v>
      </c>
      <c r="D1264" s="28">
        <v>4000</v>
      </c>
    </row>
    <row r="1265" spans="1:4" x14ac:dyDescent="0.25">
      <c r="A1265" t="s">
        <v>351</v>
      </c>
      <c r="B1265" t="s">
        <v>352</v>
      </c>
      <c r="C1265" s="69">
        <v>43917</v>
      </c>
      <c r="D1265" s="28">
        <v>15521.427</v>
      </c>
    </row>
    <row r="1266" spans="1:4" x14ac:dyDescent="0.25">
      <c r="A1266" t="s">
        <v>271</v>
      </c>
      <c r="B1266" t="s">
        <v>272</v>
      </c>
      <c r="C1266" s="69">
        <v>43918</v>
      </c>
      <c r="D1266" s="28">
        <v>2500</v>
      </c>
    </row>
    <row r="1267" spans="1:4" x14ac:dyDescent="0.25">
      <c r="A1267" t="s">
        <v>663</v>
      </c>
      <c r="B1267" t="s">
        <v>290</v>
      </c>
      <c r="C1267" s="69">
        <v>43918</v>
      </c>
      <c r="D1267" s="28">
        <v>6000</v>
      </c>
    </row>
    <row r="1268" spans="1:4" x14ac:dyDescent="0.25">
      <c r="A1268" t="s">
        <v>270</v>
      </c>
      <c r="B1268" t="s">
        <v>666</v>
      </c>
      <c r="C1268" s="69">
        <v>43918</v>
      </c>
      <c r="D1268" s="28">
        <v>2200</v>
      </c>
    </row>
    <row r="1269" spans="1:4" x14ac:dyDescent="0.25">
      <c r="A1269" t="s">
        <v>279</v>
      </c>
      <c r="B1269" t="s">
        <v>669</v>
      </c>
      <c r="C1269" s="69">
        <v>43919</v>
      </c>
      <c r="D1269" s="28">
        <v>1547.7339999999999</v>
      </c>
    </row>
    <row r="1270" spans="1:4" x14ac:dyDescent="0.25">
      <c r="A1270" t="s">
        <v>731</v>
      </c>
      <c r="B1270" t="s">
        <v>340</v>
      </c>
      <c r="C1270" s="69">
        <v>43919</v>
      </c>
      <c r="D1270" s="28">
        <v>1290</v>
      </c>
    </row>
    <row r="1271" spans="1:4" x14ac:dyDescent="0.25">
      <c r="A1271" t="s">
        <v>1431</v>
      </c>
      <c r="B1271" t="s">
        <v>1430</v>
      </c>
      <c r="C1271" s="69">
        <v>43919</v>
      </c>
      <c r="D1271" s="28">
        <v>257.78899999999999</v>
      </c>
    </row>
    <row r="1272" spans="1:4" x14ac:dyDescent="0.25">
      <c r="A1272" t="s">
        <v>387</v>
      </c>
      <c r="B1272" t="s">
        <v>388</v>
      </c>
      <c r="C1272" s="69">
        <v>43920</v>
      </c>
      <c r="D1272" s="28">
        <v>705</v>
      </c>
    </row>
    <row r="1273" spans="1:4" x14ac:dyDescent="0.25">
      <c r="A1273" t="s">
        <v>502</v>
      </c>
      <c r="B1273" t="s">
        <v>507</v>
      </c>
      <c r="C1273" s="69">
        <v>43920</v>
      </c>
      <c r="D1273" s="28">
        <v>3735.5749999999998</v>
      </c>
    </row>
    <row r="1274" spans="1:4" x14ac:dyDescent="0.25">
      <c r="A1274" t="s">
        <v>385</v>
      </c>
      <c r="B1274" t="s">
        <v>386</v>
      </c>
      <c r="C1274" s="69">
        <v>43920</v>
      </c>
      <c r="D1274" s="28">
        <v>3716.681</v>
      </c>
    </row>
    <row r="1275" spans="1:4" x14ac:dyDescent="0.25">
      <c r="A1275" t="s">
        <v>751</v>
      </c>
      <c r="B1275" t="s">
        <v>485</v>
      </c>
      <c r="C1275" s="69">
        <v>43920</v>
      </c>
      <c r="D1275" s="28">
        <v>6559.2479999999996</v>
      </c>
    </row>
    <row r="1276" spans="1:4" x14ac:dyDescent="0.25">
      <c r="A1276" t="s">
        <v>789</v>
      </c>
      <c r="B1276" t="s">
        <v>671</v>
      </c>
      <c r="C1276" s="69">
        <v>43920</v>
      </c>
      <c r="D1276" s="28">
        <v>5231.2629999999999</v>
      </c>
    </row>
    <row r="1277" spans="1:4" x14ac:dyDescent="0.25">
      <c r="A1277" t="s">
        <v>618</v>
      </c>
      <c r="B1277" t="s">
        <v>286</v>
      </c>
      <c r="C1277" s="69">
        <v>43920</v>
      </c>
      <c r="D1277" s="28">
        <v>6000</v>
      </c>
    </row>
    <row r="1278" spans="1:4" x14ac:dyDescent="0.25">
      <c r="A1278" t="s">
        <v>294</v>
      </c>
      <c r="B1278" t="s">
        <v>295</v>
      </c>
      <c r="C1278" s="69">
        <v>43920</v>
      </c>
      <c r="D1278" s="28">
        <v>530</v>
      </c>
    </row>
    <row r="1279" spans="1:4" x14ac:dyDescent="0.25">
      <c r="A1279" t="s">
        <v>801</v>
      </c>
      <c r="B1279" t="s">
        <v>291</v>
      </c>
      <c r="C1279" s="69">
        <v>43920</v>
      </c>
      <c r="D1279" s="28">
        <v>5135.2290000000003</v>
      </c>
    </row>
    <row r="1280" spans="1:4" x14ac:dyDescent="0.25">
      <c r="A1280" t="s">
        <v>1037</v>
      </c>
      <c r="B1280" t="s">
        <v>471</v>
      </c>
      <c r="C1280" s="69">
        <v>43920</v>
      </c>
      <c r="D1280" s="28">
        <v>3520.9290000000001</v>
      </c>
    </row>
    <row r="1281" spans="1:4" x14ac:dyDescent="0.25">
      <c r="A1281" t="s">
        <v>1244</v>
      </c>
      <c r="B1281" t="s">
        <v>873</v>
      </c>
      <c r="C1281" s="69">
        <v>43920</v>
      </c>
      <c r="D1281" s="28">
        <v>189.959</v>
      </c>
    </row>
    <row r="1282" spans="1:4" x14ac:dyDescent="0.25">
      <c r="A1282" t="s">
        <v>425</v>
      </c>
      <c r="B1282" t="s">
        <v>426</v>
      </c>
      <c r="C1282" s="69">
        <v>43920</v>
      </c>
      <c r="D1282" s="28">
        <v>4000</v>
      </c>
    </row>
    <row r="1283" spans="1:4" x14ac:dyDescent="0.25">
      <c r="A1283" t="s">
        <v>299</v>
      </c>
      <c r="B1283" t="s">
        <v>300</v>
      </c>
      <c r="C1283" s="69">
        <v>43920</v>
      </c>
      <c r="D1283" s="28">
        <v>3021.8609999999999</v>
      </c>
    </row>
    <row r="1284" spans="1:4" x14ac:dyDescent="0.25">
      <c r="A1284" t="s">
        <v>795</v>
      </c>
      <c r="B1284" t="s">
        <v>805</v>
      </c>
      <c r="C1284" s="69">
        <v>43920</v>
      </c>
      <c r="D1284" s="28">
        <v>1800</v>
      </c>
    </row>
    <row r="1285" spans="1:4" x14ac:dyDescent="0.25">
      <c r="A1285" t="s">
        <v>301</v>
      </c>
      <c r="B1285" t="s">
        <v>302</v>
      </c>
      <c r="C1285" s="69">
        <v>43920</v>
      </c>
      <c r="D1285" s="28">
        <v>1750</v>
      </c>
    </row>
    <row r="1286" spans="1:4" x14ac:dyDescent="0.25">
      <c r="A1286" t="s">
        <v>511</v>
      </c>
      <c r="B1286" t="s">
        <v>512</v>
      </c>
      <c r="C1286" s="69">
        <v>43921</v>
      </c>
      <c r="D1286" s="28">
        <v>3350</v>
      </c>
    </row>
    <row r="1287" spans="1:4" x14ac:dyDescent="0.25">
      <c r="A1287" t="s">
        <v>308</v>
      </c>
      <c r="B1287" t="s">
        <v>309</v>
      </c>
      <c r="C1287" s="69">
        <v>43921</v>
      </c>
      <c r="D1287" s="28">
        <v>4000</v>
      </c>
    </row>
    <row r="1288" spans="1:4" x14ac:dyDescent="0.25">
      <c r="A1288" t="s">
        <v>332</v>
      </c>
      <c r="B1288" t="s">
        <v>333</v>
      </c>
      <c r="C1288" s="69">
        <v>43921</v>
      </c>
      <c r="D1288" s="28">
        <v>793.33500000000004</v>
      </c>
    </row>
    <row r="1289" spans="1:4" x14ac:dyDescent="0.25">
      <c r="A1289" t="s">
        <v>304</v>
      </c>
      <c r="B1289" t="s">
        <v>305</v>
      </c>
      <c r="C1289" s="69">
        <v>43921</v>
      </c>
      <c r="D1289" s="28">
        <v>902.75</v>
      </c>
    </row>
    <row r="1290" spans="1:4" x14ac:dyDescent="0.25">
      <c r="A1290" t="s">
        <v>631</v>
      </c>
      <c r="B1290" t="s">
        <v>632</v>
      </c>
      <c r="C1290" s="69">
        <v>43921</v>
      </c>
      <c r="D1290" s="28">
        <v>4312.4790000000003</v>
      </c>
    </row>
    <row r="1291" spans="1:4" x14ac:dyDescent="0.25">
      <c r="A1291" t="s">
        <v>968</v>
      </c>
      <c r="B1291" t="s">
        <v>454</v>
      </c>
      <c r="C1291" s="69">
        <v>43921</v>
      </c>
      <c r="D1291" s="28">
        <v>1867.8019999999999</v>
      </c>
    </row>
    <row r="1292" spans="1:4" x14ac:dyDescent="0.25">
      <c r="A1292" t="s">
        <v>421</v>
      </c>
      <c r="B1292" t="s">
        <v>422</v>
      </c>
      <c r="C1292" s="69">
        <v>43921</v>
      </c>
      <c r="D1292" s="28">
        <v>3021.8029999999999</v>
      </c>
    </row>
    <row r="1293" spans="1:4" x14ac:dyDescent="0.25">
      <c r="A1293" t="s">
        <v>378</v>
      </c>
      <c r="B1293" t="s">
        <v>379</v>
      </c>
      <c r="C1293" s="69">
        <v>43921</v>
      </c>
      <c r="D1293" s="28">
        <v>4972.3010000000004</v>
      </c>
    </row>
    <row r="1294" spans="1:4" x14ac:dyDescent="0.25">
      <c r="A1294" t="s">
        <v>378</v>
      </c>
      <c r="B1294" t="s">
        <v>379</v>
      </c>
      <c r="C1294" s="69">
        <v>43921</v>
      </c>
      <c r="D1294" s="28">
        <v>2587.9340000000002</v>
      </c>
    </row>
    <row r="1295" spans="1:4" x14ac:dyDescent="0.25">
      <c r="A1295" t="s">
        <v>378</v>
      </c>
      <c r="B1295" t="s">
        <v>379</v>
      </c>
      <c r="C1295" s="69">
        <v>43921</v>
      </c>
      <c r="D1295" s="28">
        <v>7166.875</v>
      </c>
    </row>
    <row r="1296" spans="1:4" x14ac:dyDescent="0.25">
      <c r="A1296" t="s">
        <v>378</v>
      </c>
      <c r="B1296" t="s">
        <v>379</v>
      </c>
      <c r="C1296" s="69">
        <v>43921</v>
      </c>
      <c r="D1296" s="28">
        <v>4242.8909999999996</v>
      </c>
    </row>
    <row r="1297" spans="1:4" x14ac:dyDescent="0.25">
      <c r="A1297" t="s">
        <v>378</v>
      </c>
      <c r="B1297" t="s">
        <v>379</v>
      </c>
      <c r="C1297" s="69">
        <v>43921</v>
      </c>
      <c r="D1297" s="28">
        <v>3506.6489999999999</v>
      </c>
    </row>
    <row r="1298" spans="1:4" x14ac:dyDescent="0.25">
      <c r="A1298" t="s">
        <v>326</v>
      </c>
      <c r="B1298" t="s">
        <v>295</v>
      </c>
      <c r="C1298" s="69">
        <v>43921</v>
      </c>
      <c r="D1298" s="28">
        <v>1000</v>
      </c>
    </row>
    <row r="1299" spans="1:4" x14ac:dyDescent="0.25">
      <c r="A1299" t="s">
        <v>925</v>
      </c>
      <c r="B1299" t="s">
        <v>664</v>
      </c>
      <c r="C1299" s="69">
        <v>43921</v>
      </c>
      <c r="D1299" s="28">
        <v>4820.1580000000004</v>
      </c>
    </row>
    <row r="1300" spans="1:4" x14ac:dyDescent="0.25">
      <c r="A1300" t="s">
        <v>1159</v>
      </c>
      <c r="B1300" t="s">
        <v>1158</v>
      </c>
      <c r="C1300" s="69">
        <v>43921</v>
      </c>
      <c r="D1300" s="28">
        <v>1958.0429999999999</v>
      </c>
    </row>
    <row r="1301" spans="1:4" x14ac:dyDescent="0.25">
      <c r="A1301" t="s">
        <v>731</v>
      </c>
      <c r="B1301" t="s">
        <v>340</v>
      </c>
      <c r="C1301" s="69">
        <v>43921</v>
      </c>
      <c r="D1301" s="28">
        <v>1295</v>
      </c>
    </row>
    <row r="1302" spans="1:4" x14ac:dyDescent="0.25">
      <c r="A1302" t="s">
        <v>315</v>
      </c>
      <c r="B1302" t="s">
        <v>316</v>
      </c>
      <c r="C1302" s="69">
        <v>43921</v>
      </c>
      <c r="D1302" s="28">
        <v>1287.1600000000001</v>
      </c>
    </row>
    <row r="1303" spans="1:4" x14ac:dyDescent="0.25">
      <c r="A1303" t="s">
        <v>294</v>
      </c>
      <c r="B1303" t="s">
        <v>295</v>
      </c>
      <c r="C1303" s="69">
        <v>43921</v>
      </c>
      <c r="D1303" s="28">
        <v>320</v>
      </c>
    </row>
    <row r="1304" spans="1:4" x14ac:dyDescent="0.25">
      <c r="A1304" t="s">
        <v>354</v>
      </c>
      <c r="B1304" t="s">
        <v>355</v>
      </c>
      <c r="C1304" s="69">
        <v>43921</v>
      </c>
      <c r="D1304" s="28">
        <v>2998.3180000000002</v>
      </c>
    </row>
    <row r="1305" spans="1:4" x14ac:dyDescent="0.25">
      <c r="A1305" t="s">
        <v>391</v>
      </c>
      <c r="B1305" t="s">
        <v>392</v>
      </c>
      <c r="C1305" s="69">
        <v>43921</v>
      </c>
      <c r="D1305" s="28">
        <v>10076.045</v>
      </c>
    </row>
    <row r="1306" spans="1:4" x14ac:dyDescent="0.25">
      <c r="A1306" t="s">
        <v>1337</v>
      </c>
      <c r="B1306" t="s">
        <v>782</v>
      </c>
      <c r="C1306" s="69">
        <v>43921</v>
      </c>
      <c r="D1306" s="28">
        <v>400</v>
      </c>
    </row>
    <row r="1307" spans="1:4" x14ac:dyDescent="0.25">
      <c r="A1307" t="s">
        <v>721</v>
      </c>
      <c r="B1307" t="s">
        <v>462</v>
      </c>
      <c r="C1307" s="69">
        <v>43921</v>
      </c>
      <c r="D1307" s="28">
        <v>541.79999999999995</v>
      </c>
    </row>
    <row r="1308" spans="1:4" x14ac:dyDescent="0.25">
      <c r="A1308" t="s">
        <v>884</v>
      </c>
      <c r="B1308" t="s">
        <v>395</v>
      </c>
      <c r="C1308" s="69">
        <v>43921</v>
      </c>
      <c r="D1308" s="28">
        <v>883.52</v>
      </c>
    </row>
    <row r="1309" spans="1:4" x14ac:dyDescent="0.25">
      <c r="A1309" t="s">
        <v>1338</v>
      </c>
      <c r="B1309" t="s">
        <v>1168</v>
      </c>
      <c r="C1309" s="69">
        <v>43921</v>
      </c>
      <c r="D1309" s="28">
        <v>1168.9780000000001</v>
      </c>
    </row>
    <row r="1310" spans="1:4" x14ac:dyDescent="0.25">
      <c r="A1310" t="s">
        <v>1336</v>
      </c>
      <c r="B1310" t="s">
        <v>672</v>
      </c>
      <c r="C1310" s="69">
        <v>43921</v>
      </c>
      <c r="D1310" s="28">
        <v>2892</v>
      </c>
    </row>
    <row r="1311" spans="1:4" x14ac:dyDescent="0.25">
      <c r="A1311" t="s">
        <v>564</v>
      </c>
      <c r="B1311" t="s">
        <v>288</v>
      </c>
      <c r="C1311" s="69">
        <v>43921</v>
      </c>
      <c r="D1311" s="28">
        <v>2670.8420000000001</v>
      </c>
    </row>
    <row r="1312" spans="1:4" x14ac:dyDescent="0.25">
      <c r="A1312" t="s">
        <v>1429</v>
      </c>
      <c r="B1312" t="s">
        <v>465</v>
      </c>
      <c r="C1312" s="69">
        <v>43921</v>
      </c>
      <c r="D1312" s="28">
        <v>3874.99</v>
      </c>
    </row>
    <row r="1313" spans="1:4" x14ac:dyDescent="0.25">
      <c r="A1313" t="s">
        <v>735</v>
      </c>
      <c r="B1313" t="s">
        <v>431</v>
      </c>
      <c r="C1313" s="69">
        <v>43921</v>
      </c>
      <c r="D1313" s="28">
        <v>468.73399999999998</v>
      </c>
    </row>
    <row r="1314" spans="1:4" x14ac:dyDescent="0.25">
      <c r="A1314" t="s">
        <v>1160</v>
      </c>
      <c r="B1314" t="s">
        <v>324</v>
      </c>
      <c r="C1314" s="69">
        <v>43921</v>
      </c>
      <c r="D1314" s="28">
        <v>1718.412</v>
      </c>
    </row>
    <row r="1315" spans="1:4" x14ac:dyDescent="0.25">
      <c r="A1315" t="s">
        <v>736</v>
      </c>
      <c r="B1315" t="s">
        <v>394</v>
      </c>
      <c r="C1315" s="69">
        <v>43921</v>
      </c>
      <c r="D1315" s="28">
        <v>3524</v>
      </c>
    </row>
    <row r="1316" spans="1:4" x14ac:dyDescent="0.25">
      <c r="A1316" t="s">
        <v>452</v>
      </c>
      <c r="B1316" t="s">
        <v>453</v>
      </c>
      <c r="C1316" s="69">
        <v>43921</v>
      </c>
      <c r="D1316" s="28">
        <v>1838.1990000000001</v>
      </c>
    </row>
    <row r="1317" spans="1:4" x14ac:dyDescent="0.25">
      <c r="A1317" t="s">
        <v>342</v>
      </c>
      <c r="B1317" t="s">
        <v>343</v>
      </c>
      <c r="C1317" s="69">
        <v>43921</v>
      </c>
      <c r="D1317" s="28">
        <v>3025.97</v>
      </c>
    </row>
    <row r="1318" spans="1:4" x14ac:dyDescent="0.25">
      <c r="A1318" t="s">
        <v>336</v>
      </c>
      <c r="B1318" t="s">
        <v>337</v>
      </c>
      <c r="C1318" s="69">
        <v>43921</v>
      </c>
      <c r="D1318" s="28">
        <v>4438.3639999999996</v>
      </c>
    </row>
    <row r="1319" spans="1:4" x14ac:dyDescent="0.25">
      <c r="A1319" t="s">
        <v>450</v>
      </c>
      <c r="B1319" t="s">
        <v>451</v>
      </c>
      <c r="C1319" s="69">
        <v>43921</v>
      </c>
      <c r="D1319" s="28">
        <v>4000</v>
      </c>
    </row>
    <row r="1320" spans="1:4" x14ac:dyDescent="0.25">
      <c r="A1320" t="s">
        <v>406</v>
      </c>
      <c r="B1320" t="s">
        <v>407</v>
      </c>
      <c r="C1320" s="69">
        <v>43921</v>
      </c>
      <c r="D1320" s="28">
        <v>4259.3360000000002</v>
      </c>
    </row>
    <row r="1321" spans="1:4" ht="15.75" thickBot="1" x14ac:dyDescent="0.3">
      <c r="A1321" t="s">
        <v>1265</v>
      </c>
      <c r="B1321" t="s">
        <v>1264</v>
      </c>
      <c r="C1321" s="69">
        <v>43921</v>
      </c>
      <c r="D1321" s="28">
        <v>791.98599999999999</v>
      </c>
    </row>
    <row r="1322" spans="1:4" ht="15.75" thickBot="1" x14ac:dyDescent="0.3">
      <c r="A1322" s="1002" t="s">
        <v>908</v>
      </c>
      <c r="B1322" s="1003"/>
      <c r="C1322" s="1003"/>
      <c r="D1322" s="732">
        <f>SUM(D1057:D1321)</f>
        <v>711542.47599999991</v>
      </c>
    </row>
    <row r="1323" spans="1:4" x14ac:dyDescent="0.25">
      <c r="A1323" t="s">
        <v>270</v>
      </c>
      <c r="B1323" t="s">
        <v>666</v>
      </c>
      <c r="C1323" s="69">
        <v>43922</v>
      </c>
      <c r="D1323" s="28">
        <v>2100</v>
      </c>
    </row>
    <row r="1324" spans="1:4" x14ac:dyDescent="0.25">
      <c r="A1324" t="s">
        <v>1157</v>
      </c>
      <c r="B1324" t="s">
        <v>668</v>
      </c>
      <c r="C1324" s="69">
        <v>43923</v>
      </c>
      <c r="D1324" s="28">
        <v>1535</v>
      </c>
    </row>
    <row r="1325" spans="1:4" x14ac:dyDescent="0.25">
      <c r="A1325" t="s">
        <v>315</v>
      </c>
      <c r="B1325" t="s">
        <v>316</v>
      </c>
      <c r="C1325" s="69">
        <v>43925</v>
      </c>
      <c r="D1325" s="28">
        <v>1287.1600000000001</v>
      </c>
    </row>
    <row r="1326" spans="1:4" x14ac:dyDescent="0.25">
      <c r="A1326" t="s">
        <v>925</v>
      </c>
      <c r="B1326" t="s">
        <v>664</v>
      </c>
      <c r="C1326" s="69">
        <v>43926</v>
      </c>
      <c r="D1326" s="28">
        <v>4820.1580000000004</v>
      </c>
    </row>
    <row r="1327" spans="1:4" x14ac:dyDescent="0.25">
      <c r="A1327" t="s">
        <v>1157</v>
      </c>
      <c r="B1327" t="s">
        <v>668</v>
      </c>
      <c r="C1327" s="69">
        <v>43926</v>
      </c>
      <c r="D1327" s="28">
        <v>1536</v>
      </c>
    </row>
    <row r="1328" spans="1:4" x14ac:dyDescent="0.25">
      <c r="A1328" t="s">
        <v>1030</v>
      </c>
      <c r="B1328" t="s">
        <v>275</v>
      </c>
      <c r="C1328" s="69">
        <v>43926</v>
      </c>
      <c r="D1328" s="28">
        <v>2474.3609999999999</v>
      </c>
    </row>
    <row r="1329" spans="1:4" x14ac:dyDescent="0.25">
      <c r="A1329" t="s">
        <v>859</v>
      </c>
      <c r="B1329" t="s">
        <v>698</v>
      </c>
      <c r="C1329" s="69">
        <v>43926</v>
      </c>
      <c r="D1329" s="28">
        <v>7350.8149999999996</v>
      </c>
    </row>
    <row r="1330" spans="1:4" x14ac:dyDescent="0.25">
      <c r="A1330" t="s">
        <v>1428</v>
      </c>
      <c r="B1330" t="s">
        <v>755</v>
      </c>
      <c r="C1330" s="69">
        <v>43926</v>
      </c>
      <c r="D1330" s="28">
        <v>1721.683</v>
      </c>
    </row>
    <row r="1331" spans="1:4" x14ac:dyDescent="0.25">
      <c r="A1331" t="s">
        <v>770</v>
      </c>
      <c r="B1331" t="s">
        <v>433</v>
      </c>
      <c r="C1331" s="69">
        <v>43926</v>
      </c>
      <c r="D1331" s="28">
        <v>3482.2779999999998</v>
      </c>
    </row>
    <row r="1332" spans="1:4" x14ac:dyDescent="0.25">
      <c r="A1332" t="s">
        <v>299</v>
      </c>
      <c r="B1332" t="s">
        <v>300</v>
      </c>
      <c r="C1332" s="69">
        <v>43926</v>
      </c>
      <c r="D1332" s="28">
        <v>3805.3</v>
      </c>
    </row>
    <row r="1333" spans="1:4" x14ac:dyDescent="0.25">
      <c r="A1333" t="s">
        <v>330</v>
      </c>
      <c r="B1333" t="s">
        <v>331</v>
      </c>
      <c r="C1333" s="69">
        <v>43926</v>
      </c>
      <c r="D1333" s="28">
        <v>3200</v>
      </c>
    </row>
    <row r="1334" spans="1:4" x14ac:dyDescent="0.25">
      <c r="A1334" t="s">
        <v>301</v>
      </c>
      <c r="B1334" t="s">
        <v>302</v>
      </c>
      <c r="C1334" s="69">
        <v>43926</v>
      </c>
      <c r="D1334" s="28">
        <v>1750</v>
      </c>
    </row>
    <row r="1335" spans="1:4" x14ac:dyDescent="0.25">
      <c r="A1335" t="s">
        <v>731</v>
      </c>
      <c r="B1335" t="s">
        <v>340</v>
      </c>
      <c r="C1335" s="69">
        <v>43927</v>
      </c>
      <c r="D1335" s="28">
        <v>945.45500000000004</v>
      </c>
    </row>
    <row r="1336" spans="1:4" x14ac:dyDescent="0.25">
      <c r="A1336" t="s">
        <v>425</v>
      </c>
      <c r="B1336" t="s">
        <v>426</v>
      </c>
      <c r="C1336" s="69">
        <v>43927</v>
      </c>
      <c r="D1336" s="28">
        <v>4000</v>
      </c>
    </row>
    <row r="1337" spans="1:4" x14ac:dyDescent="0.25">
      <c r="A1337" t="s">
        <v>511</v>
      </c>
      <c r="B1337" t="s">
        <v>512</v>
      </c>
      <c r="C1337" s="69">
        <v>43928</v>
      </c>
      <c r="D1337" s="28">
        <v>3350</v>
      </c>
    </row>
    <row r="1338" spans="1:4" x14ac:dyDescent="0.25">
      <c r="A1338" t="s">
        <v>315</v>
      </c>
      <c r="B1338" t="s">
        <v>316</v>
      </c>
      <c r="C1338" s="69">
        <v>43928</v>
      </c>
      <c r="D1338" s="28">
        <v>1287.1600000000001</v>
      </c>
    </row>
    <row r="1339" spans="1:4" x14ac:dyDescent="0.25">
      <c r="A1339" t="s">
        <v>731</v>
      </c>
      <c r="B1339" t="s">
        <v>340</v>
      </c>
      <c r="C1339" s="69">
        <v>43929</v>
      </c>
      <c r="D1339" s="28">
        <v>1275</v>
      </c>
    </row>
    <row r="1340" spans="1:4" x14ac:dyDescent="0.25">
      <c r="A1340" t="s">
        <v>1157</v>
      </c>
      <c r="B1340" t="s">
        <v>668</v>
      </c>
      <c r="C1340" s="69">
        <v>43929</v>
      </c>
      <c r="D1340" s="28">
        <v>693.745</v>
      </c>
    </row>
    <row r="1341" spans="1:4" x14ac:dyDescent="0.25">
      <c r="A1341" t="s">
        <v>292</v>
      </c>
      <c r="B1341" t="s">
        <v>293</v>
      </c>
      <c r="C1341" s="69">
        <v>43930</v>
      </c>
      <c r="D1341" s="28">
        <v>1715.7090000000001</v>
      </c>
    </row>
    <row r="1342" spans="1:4" x14ac:dyDescent="0.25">
      <c r="A1342" t="s">
        <v>484</v>
      </c>
      <c r="B1342" t="s">
        <v>439</v>
      </c>
      <c r="C1342" s="69">
        <v>43931</v>
      </c>
      <c r="D1342" s="28">
        <v>1023.0890000000001</v>
      </c>
    </row>
    <row r="1343" spans="1:4" x14ac:dyDescent="0.25">
      <c r="A1343" t="s">
        <v>731</v>
      </c>
      <c r="B1343" t="s">
        <v>340</v>
      </c>
      <c r="C1343" s="69">
        <v>43931</v>
      </c>
      <c r="D1343" s="28">
        <v>1270</v>
      </c>
    </row>
    <row r="1344" spans="1:4" x14ac:dyDescent="0.25">
      <c r="A1344" t="s">
        <v>776</v>
      </c>
      <c r="B1344" t="s">
        <v>327</v>
      </c>
      <c r="C1344" s="69">
        <v>43931</v>
      </c>
      <c r="D1344" s="28">
        <v>1000</v>
      </c>
    </row>
    <row r="1345" spans="1:4" x14ac:dyDescent="0.25">
      <c r="A1345" t="s">
        <v>1336</v>
      </c>
      <c r="B1345" t="s">
        <v>672</v>
      </c>
      <c r="C1345" s="69">
        <v>43931</v>
      </c>
      <c r="D1345" s="28">
        <v>2892.471</v>
      </c>
    </row>
    <row r="1346" spans="1:4" x14ac:dyDescent="0.25">
      <c r="A1346" t="s">
        <v>1030</v>
      </c>
      <c r="B1346" t="s">
        <v>275</v>
      </c>
      <c r="C1346" s="69">
        <v>43931</v>
      </c>
      <c r="D1346" s="28">
        <v>2000</v>
      </c>
    </row>
    <row r="1347" spans="1:4" x14ac:dyDescent="0.25">
      <c r="A1347" t="s">
        <v>1160</v>
      </c>
      <c r="B1347" t="s">
        <v>324</v>
      </c>
      <c r="C1347" s="69">
        <v>43931</v>
      </c>
      <c r="D1347" s="28">
        <v>1718.412</v>
      </c>
    </row>
    <row r="1348" spans="1:4" x14ac:dyDescent="0.25">
      <c r="A1348" t="s">
        <v>347</v>
      </c>
      <c r="B1348" t="s">
        <v>348</v>
      </c>
      <c r="C1348" s="69">
        <v>43931</v>
      </c>
      <c r="D1348" s="28">
        <v>5681.8440000000001</v>
      </c>
    </row>
    <row r="1349" spans="1:4" x14ac:dyDescent="0.25">
      <c r="A1349" t="s">
        <v>434</v>
      </c>
      <c r="B1349" t="s">
        <v>412</v>
      </c>
      <c r="C1349" s="69">
        <v>43931</v>
      </c>
      <c r="D1349" s="28">
        <v>10328.142</v>
      </c>
    </row>
    <row r="1350" spans="1:4" x14ac:dyDescent="0.25">
      <c r="A1350" t="s">
        <v>795</v>
      </c>
      <c r="B1350" t="s">
        <v>805</v>
      </c>
      <c r="C1350" s="69">
        <v>43931</v>
      </c>
      <c r="D1350" s="28">
        <v>1800</v>
      </c>
    </row>
    <row r="1351" spans="1:4" x14ac:dyDescent="0.25">
      <c r="A1351" t="s">
        <v>301</v>
      </c>
      <c r="B1351" t="s">
        <v>302</v>
      </c>
      <c r="C1351" s="69">
        <v>43931</v>
      </c>
      <c r="D1351" s="28">
        <v>1750</v>
      </c>
    </row>
    <row r="1352" spans="1:4" x14ac:dyDescent="0.25">
      <c r="A1352" t="s">
        <v>315</v>
      </c>
      <c r="B1352" t="s">
        <v>316</v>
      </c>
      <c r="C1352" s="69">
        <v>43932</v>
      </c>
      <c r="D1352" s="28">
        <v>1287.1600000000001</v>
      </c>
    </row>
    <row r="1353" spans="1:4" x14ac:dyDescent="0.25">
      <c r="A1353" t="s">
        <v>511</v>
      </c>
      <c r="B1353" t="s">
        <v>512</v>
      </c>
      <c r="C1353" s="69">
        <v>43933</v>
      </c>
      <c r="D1353" s="28">
        <v>3350</v>
      </c>
    </row>
    <row r="1354" spans="1:4" x14ac:dyDescent="0.25">
      <c r="A1354" t="s">
        <v>925</v>
      </c>
      <c r="B1354" t="s">
        <v>664</v>
      </c>
      <c r="C1354" s="69">
        <v>43933</v>
      </c>
      <c r="D1354" s="28">
        <v>4820.1580000000004</v>
      </c>
    </row>
    <row r="1355" spans="1:4" x14ac:dyDescent="0.25">
      <c r="A1355" t="s">
        <v>1159</v>
      </c>
      <c r="B1355" t="s">
        <v>1158</v>
      </c>
      <c r="C1355" s="69">
        <v>43933</v>
      </c>
      <c r="D1355" s="28">
        <v>1958.0429999999999</v>
      </c>
    </row>
    <row r="1356" spans="1:4" x14ac:dyDescent="0.25">
      <c r="A1356" t="s">
        <v>731</v>
      </c>
      <c r="B1356" t="s">
        <v>340</v>
      </c>
      <c r="C1356" s="69">
        <v>43933</v>
      </c>
      <c r="D1356" s="28">
        <v>1265</v>
      </c>
    </row>
    <row r="1357" spans="1:4" x14ac:dyDescent="0.25">
      <c r="A1357" t="s">
        <v>1157</v>
      </c>
      <c r="B1357" t="s">
        <v>668</v>
      </c>
      <c r="C1357" s="69">
        <v>43933</v>
      </c>
      <c r="D1357" s="28">
        <v>1537</v>
      </c>
    </row>
    <row r="1358" spans="1:4" x14ac:dyDescent="0.25">
      <c r="A1358" t="s">
        <v>270</v>
      </c>
      <c r="B1358" t="s">
        <v>666</v>
      </c>
      <c r="C1358" s="69">
        <v>43933</v>
      </c>
      <c r="D1358" s="28">
        <v>2100</v>
      </c>
    </row>
    <row r="1359" spans="1:4" x14ac:dyDescent="0.25">
      <c r="A1359" t="s">
        <v>330</v>
      </c>
      <c r="B1359" t="s">
        <v>331</v>
      </c>
      <c r="C1359" s="69">
        <v>43933</v>
      </c>
      <c r="D1359" s="28">
        <v>3200</v>
      </c>
    </row>
    <row r="1360" spans="1:4" x14ac:dyDescent="0.25">
      <c r="A1360" t="s">
        <v>425</v>
      </c>
      <c r="B1360" t="s">
        <v>426</v>
      </c>
      <c r="C1360" s="69">
        <v>43934</v>
      </c>
      <c r="D1360" s="28">
        <v>3431.7240000000002</v>
      </c>
    </row>
    <row r="1361" spans="1:4" x14ac:dyDescent="0.25">
      <c r="A1361" t="s">
        <v>292</v>
      </c>
      <c r="B1361" t="s">
        <v>293</v>
      </c>
      <c r="C1361" s="69">
        <v>43935</v>
      </c>
      <c r="D1361" s="28">
        <v>1715.71</v>
      </c>
    </row>
    <row r="1362" spans="1:4" x14ac:dyDescent="0.25">
      <c r="A1362" t="s">
        <v>308</v>
      </c>
      <c r="B1362" t="s">
        <v>309</v>
      </c>
      <c r="C1362" s="69">
        <v>43936</v>
      </c>
      <c r="D1362" s="28">
        <v>4000</v>
      </c>
    </row>
    <row r="1363" spans="1:4" x14ac:dyDescent="0.25">
      <c r="A1363" t="s">
        <v>332</v>
      </c>
      <c r="B1363" t="s">
        <v>333</v>
      </c>
      <c r="C1363" s="69">
        <v>43936</v>
      </c>
      <c r="D1363" s="28">
        <v>1000</v>
      </c>
    </row>
    <row r="1364" spans="1:4" x14ac:dyDescent="0.25">
      <c r="A1364" t="s">
        <v>751</v>
      </c>
      <c r="B1364" t="s">
        <v>485</v>
      </c>
      <c r="C1364" s="69">
        <v>43936</v>
      </c>
      <c r="D1364" s="28">
        <v>7000</v>
      </c>
    </row>
    <row r="1365" spans="1:4" x14ac:dyDescent="0.25">
      <c r="A1365" t="s">
        <v>487</v>
      </c>
      <c r="B1365" t="s">
        <v>488</v>
      </c>
      <c r="C1365" s="69">
        <v>43936</v>
      </c>
      <c r="D1365" s="28">
        <v>5479.4319999999998</v>
      </c>
    </row>
    <row r="1366" spans="1:4" x14ac:dyDescent="0.25">
      <c r="A1366" t="s">
        <v>618</v>
      </c>
      <c r="B1366" t="s">
        <v>286</v>
      </c>
      <c r="C1366" s="69">
        <v>43936</v>
      </c>
      <c r="D1366" s="28">
        <v>6000</v>
      </c>
    </row>
    <row r="1367" spans="1:4" x14ac:dyDescent="0.25">
      <c r="A1367" t="s">
        <v>776</v>
      </c>
      <c r="B1367" t="s">
        <v>327</v>
      </c>
      <c r="C1367" s="69">
        <v>43936</v>
      </c>
      <c r="D1367" s="28">
        <v>1190.93</v>
      </c>
    </row>
    <row r="1368" spans="1:4" x14ac:dyDescent="0.25">
      <c r="A1368" t="s">
        <v>639</v>
      </c>
      <c r="B1368" t="s">
        <v>403</v>
      </c>
      <c r="C1368" s="69">
        <v>43936</v>
      </c>
      <c r="D1368" s="28">
        <v>699.48099999999999</v>
      </c>
    </row>
    <row r="1369" spans="1:4" x14ac:dyDescent="0.25">
      <c r="A1369" t="s">
        <v>965</v>
      </c>
      <c r="B1369" t="s">
        <v>368</v>
      </c>
      <c r="C1369" s="69">
        <v>43936</v>
      </c>
      <c r="D1369" s="28">
        <v>7606.93</v>
      </c>
    </row>
    <row r="1370" spans="1:4" x14ac:dyDescent="0.25">
      <c r="A1370" t="s">
        <v>1166</v>
      </c>
      <c r="B1370" t="s">
        <v>364</v>
      </c>
      <c r="C1370" s="69">
        <v>43936</v>
      </c>
      <c r="D1370" s="28">
        <v>1825.962</v>
      </c>
    </row>
    <row r="1371" spans="1:4" x14ac:dyDescent="0.25">
      <c r="A1371" t="s">
        <v>301</v>
      </c>
      <c r="B1371" t="s">
        <v>302</v>
      </c>
      <c r="C1371" s="69">
        <v>43936</v>
      </c>
      <c r="D1371" s="28">
        <v>1750</v>
      </c>
    </row>
    <row r="1372" spans="1:4" x14ac:dyDescent="0.25">
      <c r="A1372" t="s">
        <v>925</v>
      </c>
      <c r="B1372" t="s">
        <v>664</v>
      </c>
      <c r="C1372" s="69">
        <v>43937</v>
      </c>
      <c r="D1372" s="28">
        <v>6309.78</v>
      </c>
    </row>
    <row r="1373" spans="1:4" x14ac:dyDescent="0.25">
      <c r="A1373" t="s">
        <v>270</v>
      </c>
      <c r="B1373" t="s">
        <v>666</v>
      </c>
      <c r="C1373" s="69">
        <v>43938</v>
      </c>
      <c r="D1373" s="28">
        <v>2116.1419999999998</v>
      </c>
    </row>
    <row r="1374" spans="1:4" x14ac:dyDescent="0.25">
      <c r="A1374" t="s">
        <v>511</v>
      </c>
      <c r="B1374" t="s">
        <v>512</v>
      </c>
      <c r="C1374" s="69">
        <v>43939</v>
      </c>
      <c r="D1374" s="28">
        <v>3532</v>
      </c>
    </row>
    <row r="1375" spans="1:4" x14ac:dyDescent="0.25">
      <c r="A1375" t="s">
        <v>292</v>
      </c>
      <c r="B1375" t="s">
        <v>293</v>
      </c>
      <c r="C1375" s="69">
        <v>43940</v>
      </c>
      <c r="D1375" s="28">
        <v>1715.711</v>
      </c>
    </row>
    <row r="1376" spans="1:4" x14ac:dyDescent="0.25">
      <c r="A1376" t="s">
        <v>511</v>
      </c>
      <c r="B1376" t="s">
        <v>512</v>
      </c>
      <c r="C1376" s="69">
        <v>43941</v>
      </c>
      <c r="D1376" s="28">
        <v>3000</v>
      </c>
    </row>
    <row r="1377" spans="1:4" x14ac:dyDescent="0.25">
      <c r="A1377" t="s">
        <v>1160</v>
      </c>
      <c r="B1377" t="s">
        <v>324</v>
      </c>
      <c r="C1377" s="69">
        <v>43941</v>
      </c>
      <c r="D1377" s="28">
        <v>1718.412</v>
      </c>
    </row>
    <row r="1378" spans="1:4" x14ac:dyDescent="0.25">
      <c r="A1378" t="s">
        <v>425</v>
      </c>
      <c r="B1378" t="s">
        <v>426</v>
      </c>
      <c r="C1378" s="69">
        <v>43941</v>
      </c>
      <c r="D1378" s="28">
        <v>4000</v>
      </c>
    </row>
    <row r="1379" spans="1:4" x14ac:dyDescent="0.25">
      <c r="A1379" t="s">
        <v>795</v>
      </c>
      <c r="B1379" t="s">
        <v>805</v>
      </c>
      <c r="C1379" s="69">
        <v>43941</v>
      </c>
      <c r="D1379" s="28">
        <v>1800</v>
      </c>
    </row>
    <row r="1380" spans="1:4" x14ac:dyDescent="0.25">
      <c r="A1380" t="s">
        <v>301</v>
      </c>
      <c r="B1380" t="s">
        <v>302</v>
      </c>
      <c r="C1380" s="69">
        <v>43941</v>
      </c>
      <c r="D1380" s="28">
        <v>1750</v>
      </c>
    </row>
    <row r="1381" spans="1:4" x14ac:dyDescent="0.25">
      <c r="A1381" t="s">
        <v>731</v>
      </c>
      <c r="B1381" t="s">
        <v>340</v>
      </c>
      <c r="C1381" s="69">
        <v>43944</v>
      </c>
      <c r="D1381" s="28">
        <v>925</v>
      </c>
    </row>
    <row r="1382" spans="1:4" x14ac:dyDescent="0.25">
      <c r="A1382" t="s">
        <v>925</v>
      </c>
      <c r="B1382" t="s">
        <v>664</v>
      </c>
      <c r="C1382" s="69">
        <v>43945</v>
      </c>
      <c r="D1382" s="28">
        <v>6309.78</v>
      </c>
    </row>
    <row r="1383" spans="1:4" x14ac:dyDescent="0.25">
      <c r="A1383" t="s">
        <v>445</v>
      </c>
      <c r="B1383" t="s">
        <v>293</v>
      </c>
      <c r="C1383" s="69">
        <v>43945</v>
      </c>
      <c r="D1383" s="28">
        <v>2081.6</v>
      </c>
    </row>
    <row r="1384" spans="1:4" x14ac:dyDescent="0.25">
      <c r="A1384" t="s">
        <v>511</v>
      </c>
      <c r="B1384" t="s">
        <v>512</v>
      </c>
      <c r="C1384" s="69">
        <v>43946</v>
      </c>
      <c r="D1384" s="28">
        <v>3532</v>
      </c>
    </row>
    <row r="1385" spans="1:4" x14ac:dyDescent="0.25">
      <c r="A1385" t="s">
        <v>731</v>
      </c>
      <c r="B1385" t="s">
        <v>340</v>
      </c>
      <c r="C1385" s="69">
        <v>43946</v>
      </c>
      <c r="D1385" s="28">
        <v>930</v>
      </c>
    </row>
    <row r="1386" spans="1:4" x14ac:dyDescent="0.25">
      <c r="A1386" t="s">
        <v>301</v>
      </c>
      <c r="B1386" t="s">
        <v>302</v>
      </c>
      <c r="C1386" s="69">
        <v>43946</v>
      </c>
      <c r="D1386" s="28">
        <v>1750</v>
      </c>
    </row>
    <row r="1387" spans="1:4" x14ac:dyDescent="0.25">
      <c r="A1387" t="s">
        <v>731</v>
      </c>
      <c r="B1387" t="s">
        <v>340</v>
      </c>
      <c r="C1387" s="69">
        <v>43948</v>
      </c>
      <c r="D1387" s="28">
        <v>935</v>
      </c>
    </row>
    <row r="1388" spans="1:4" x14ac:dyDescent="0.25">
      <c r="A1388" t="s">
        <v>1426</v>
      </c>
      <c r="B1388" t="s">
        <v>666</v>
      </c>
      <c r="C1388" s="69">
        <v>43948</v>
      </c>
      <c r="D1388" s="28">
        <v>1900</v>
      </c>
    </row>
    <row r="1389" spans="1:4" x14ac:dyDescent="0.25">
      <c r="A1389" t="s">
        <v>351</v>
      </c>
      <c r="B1389" t="s">
        <v>352</v>
      </c>
      <c r="C1389" s="69">
        <v>43948</v>
      </c>
      <c r="D1389" s="28">
        <v>9734.6350000000002</v>
      </c>
    </row>
    <row r="1390" spans="1:4" x14ac:dyDescent="0.25">
      <c r="A1390" t="s">
        <v>731</v>
      </c>
      <c r="B1390" t="s">
        <v>340</v>
      </c>
      <c r="C1390" s="69">
        <v>43950</v>
      </c>
      <c r="D1390" s="28">
        <v>945</v>
      </c>
    </row>
    <row r="1391" spans="1:4" x14ac:dyDescent="0.25">
      <c r="A1391" t="s">
        <v>445</v>
      </c>
      <c r="B1391" t="s">
        <v>293</v>
      </c>
      <c r="C1391" s="69">
        <v>43950</v>
      </c>
      <c r="D1391" s="28">
        <v>2081.6010000000001</v>
      </c>
    </row>
    <row r="1392" spans="1:4" x14ac:dyDescent="0.25">
      <c r="A1392" t="s">
        <v>511</v>
      </c>
      <c r="B1392" t="s">
        <v>512</v>
      </c>
      <c r="C1392" s="69">
        <v>43951</v>
      </c>
      <c r="D1392" s="28">
        <v>3532</v>
      </c>
    </row>
    <row r="1393" spans="1:4" x14ac:dyDescent="0.25">
      <c r="A1393" t="s">
        <v>618</v>
      </c>
      <c r="B1393" t="s">
        <v>286</v>
      </c>
      <c r="C1393" s="69">
        <v>43951</v>
      </c>
      <c r="D1393" s="28">
        <v>6000</v>
      </c>
    </row>
    <row r="1394" spans="1:4" x14ac:dyDescent="0.25">
      <c r="A1394" t="s">
        <v>731</v>
      </c>
      <c r="B1394" t="s">
        <v>340</v>
      </c>
      <c r="C1394" s="69">
        <v>43951</v>
      </c>
      <c r="D1394" s="28">
        <v>940</v>
      </c>
    </row>
    <row r="1395" spans="1:4" x14ac:dyDescent="0.25">
      <c r="A1395" t="s">
        <v>1427</v>
      </c>
      <c r="B1395" t="s">
        <v>355</v>
      </c>
      <c r="C1395" s="69">
        <v>43951</v>
      </c>
      <c r="D1395" s="28">
        <v>3000</v>
      </c>
    </row>
    <row r="1396" spans="1:4" x14ac:dyDescent="0.25">
      <c r="A1396" t="s">
        <v>789</v>
      </c>
      <c r="B1396" t="s">
        <v>671</v>
      </c>
      <c r="C1396" s="69">
        <v>43951</v>
      </c>
      <c r="D1396" s="28">
        <v>3630.951</v>
      </c>
    </row>
    <row r="1397" spans="1:4" x14ac:dyDescent="0.25">
      <c r="A1397" t="s">
        <v>425</v>
      </c>
      <c r="B1397" t="s">
        <v>426</v>
      </c>
      <c r="C1397" s="69">
        <v>43951</v>
      </c>
      <c r="D1397" s="28">
        <v>4000</v>
      </c>
    </row>
    <row r="1398" spans="1:4" ht="15.75" thickBot="1" x14ac:dyDescent="0.3">
      <c r="A1398" t="s">
        <v>301</v>
      </c>
      <c r="B1398" t="s">
        <v>302</v>
      </c>
      <c r="C1398" s="69">
        <v>43951</v>
      </c>
      <c r="D1398" s="28">
        <v>1782.681</v>
      </c>
    </row>
    <row r="1399" spans="1:4" ht="15.75" thickBot="1" x14ac:dyDescent="0.3">
      <c r="A1399" s="1002" t="s">
        <v>1025</v>
      </c>
      <c r="B1399" s="1003"/>
      <c r="C1399" s="1003"/>
      <c r="D1399" s="732">
        <f>SUM(D1323:D1398)</f>
        <v>218963.60500000004</v>
      </c>
    </row>
    <row r="1400" spans="1:4" x14ac:dyDescent="0.25">
      <c r="A1400" t="s">
        <v>925</v>
      </c>
      <c r="B1400" t="s">
        <v>664</v>
      </c>
      <c r="C1400" s="69">
        <v>43953</v>
      </c>
      <c r="D1400" s="28">
        <v>6309.78</v>
      </c>
    </row>
    <row r="1401" spans="1:4" x14ac:dyDescent="0.25">
      <c r="A1401" t="s">
        <v>511</v>
      </c>
      <c r="B1401" t="s">
        <v>512</v>
      </c>
      <c r="C1401" s="69">
        <v>43956</v>
      </c>
      <c r="D1401" s="28">
        <v>3532</v>
      </c>
    </row>
    <row r="1402" spans="1:4" x14ac:dyDescent="0.25">
      <c r="A1402" t="s">
        <v>289</v>
      </c>
      <c r="B1402" t="s">
        <v>290</v>
      </c>
      <c r="C1402" s="69">
        <v>43956</v>
      </c>
      <c r="D1402" s="28">
        <v>4907.0690000000004</v>
      </c>
    </row>
    <row r="1403" spans="1:4" x14ac:dyDescent="0.25">
      <c r="A1403" t="s">
        <v>731</v>
      </c>
      <c r="B1403" t="s">
        <v>340</v>
      </c>
      <c r="C1403" s="69">
        <v>43958</v>
      </c>
      <c r="D1403" s="28">
        <v>920</v>
      </c>
    </row>
    <row r="1404" spans="1:4" x14ac:dyDescent="0.25">
      <c r="A1404" t="s">
        <v>731</v>
      </c>
      <c r="B1404" t="s">
        <v>340</v>
      </c>
      <c r="C1404" s="69">
        <v>43960</v>
      </c>
      <c r="D1404" s="28">
        <v>915</v>
      </c>
    </row>
    <row r="1405" spans="1:4" x14ac:dyDescent="0.25">
      <c r="A1405" t="s">
        <v>445</v>
      </c>
      <c r="B1405" t="s">
        <v>293</v>
      </c>
      <c r="C1405" s="69">
        <v>43960</v>
      </c>
      <c r="D1405" s="28">
        <v>2081.6019999999999</v>
      </c>
    </row>
    <row r="1406" spans="1:4" x14ac:dyDescent="0.25">
      <c r="A1406" t="s">
        <v>925</v>
      </c>
      <c r="B1406" t="s">
        <v>664</v>
      </c>
      <c r="C1406" s="69">
        <v>43961</v>
      </c>
      <c r="D1406" s="28">
        <v>6309.78</v>
      </c>
    </row>
    <row r="1407" spans="1:4" x14ac:dyDescent="0.25">
      <c r="A1407" t="s">
        <v>425</v>
      </c>
      <c r="B1407" t="s">
        <v>426</v>
      </c>
      <c r="C1407" s="69">
        <v>43961</v>
      </c>
      <c r="D1407" s="28">
        <v>3996.9760000000001</v>
      </c>
    </row>
    <row r="1408" spans="1:4" x14ac:dyDescent="0.25">
      <c r="A1408" t="s">
        <v>511</v>
      </c>
      <c r="B1408" t="s">
        <v>512</v>
      </c>
      <c r="C1408" s="69">
        <v>43962</v>
      </c>
      <c r="D1408" s="28">
        <v>3532</v>
      </c>
    </row>
    <row r="1409" spans="1:4" x14ac:dyDescent="0.25">
      <c r="A1409" t="s">
        <v>731</v>
      </c>
      <c r="B1409" t="s">
        <v>340</v>
      </c>
      <c r="C1409" s="69">
        <v>43962</v>
      </c>
      <c r="D1409" s="28">
        <v>871.971</v>
      </c>
    </row>
    <row r="1410" spans="1:4" x14ac:dyDescent="0.25">
      <c r="A1410" t="s">
        <v>1426</v>
      </c>
      <c r="B1410" t="s">
        <v>666</v>
      </c>
      <c r="C1410" s="69">
        <v>43963</v>
      </c>
      <c r="D1410" s="28">
        <v>1900</v>
      </c>
    </row>
    <row r="1411" spans="1:4" x14ac:dyDescent="0.25">
      <c r="A1411" t="s">
        <v>445</v>
      </c>
      <c r="B1411" t="s">
        <v>293</v>
      </c>
      <c r="C1411" s="69">
        <v>43965</v>
      </c>
      <c r="D1411" s="28">
        <v>2081.6030000000001</v>
      </c>
    </row>
    <row r="1412" spans="1:4" x14ac:dyDescent="0.25">
      <c r="A1412" t="s">
        <v>289</v>
      </c>
      <c r="B1412" t="s">
        <v>290</v>
      </c>
      <c r="C1412" s="69">
        <v>43966</v>
      </c>
      <c r="D1412" s="28">
        <v>4500</v>
      </c>
    </row>
    <row r="1413" spans="1:4" x14ac:dyDescent="0.25">
      <c r="A1413" t="s">
        <v>511</v>
      </c>
      <c r="B1413" t="s">
        <v>512</v>
      </c>
      <c r="C1413" s="69">
        <v>43967</v>
      </c>
      <c r="D1413" s="28">
        <v>3534.62</v>
      </c>
    </row>
    <row r="1414" spans="1:4" x14ac:dyDescent="0.25">
      <c r="A1414" t="s">
        <v>1426</v>
      </c>
      <c r="B1414" t="s">
        <v>666</v>
      </c>
      <c r="C1414" s="69">
        <v>43968</v>
      </c>
      <c r="D1414" s="28">
        <v>1923.0050000000001</v>
      </c>
    </row>
    <row r="1415" spans="1:4" x14ac:dyDescent="0.25">
      <c r="A1415" t="s">
        <v>445</v>
      </c>
      <c r="B1415" t="s">
        <v>293</v>
      </c>
      <c r="C1415" s="69">
        <v>43970</v>
      </c>
      <c r="D1415" s="28">
        <v>2081.6039999999998</v>
      </c>
    </row>
    <row r="1416" spans="1:4" ht="15.75" thickBot="1" x14ac:dyDescent="0.3">
      <c r="A1416" t="s">
        <v>289</v>
      </c>
      <c r="B1416" t="s">
        <v>290</v>
      </c>
      <c r="C1416" s="69">
        <v>43974</v>
      </c>
      <c r="D1416" s="28">
        <v>4500</v>
      </c>
    </row>
    <row r="1417" spans="1:4" ht="15.75" thickBot="1" x14ac:dyDescent="0.3">
      <c r="A1417" s="1002" t="s">
        <v>1300</v>
      </c>
      <c r="B1417" s="1003"/>
      <c r="C1417" s="1003"/>
      <c r="D1417" s="732">
        <f>SUM(D1400:D1416)</f>
        <v>53897.009999999995</v>
      </c>
    </row>
    <row r="1418" spans="1:4" ht="15.75" thickBot="1" x14ac:dyDescent="0.3">
      <c r="A1418" t="s">
        <v>663</v>
      </c>
      <c r="B1418" t="s">
        <v>290</v>
      </c>
      <c r="C1418" s="69">
        <v>43997</v>
      </c>
      <c r="D1418" s="28">
        <v>11165.526</v>
      </c>
    </row>
    <row r="1419" spans="1:4" ht="15.75" thickBot="1" x14ac:dyDescent="0.3">
      <c r="A1419" s="1002" t="s">
        <v>1377</v>
      </c>
      <c r="B1419" s="1003"/>
      <c r="C1419" s="1003"/>
      <c r="D1419" s="732">
        <f>SUM(D1418)</f>
        <v>11165.526</v>
      </c>
    </row>
    <row r="1420" spans="1:4" ht="15.75" thickBot="1" x14ac:dyDescent="0.3">
      <c r="A1420" s="733"/>
      <c r="B1420" s="733"/>
      <c r="C1420" s="733"/>
      <c r="D1420" s="792"/>
    </row>
    <row r="1421" spans="1:4" ht="15.75" thickBot="1" x14ac:dyDescent="0.3">
      <c r="A1421" s="1004" t="s">
        <v>1024</v>
      </c>
      <c r="B1421" s="1005"/>
      <c r="C1421" s="1005"/>
      <c r="D1421" s="731">
        <f>D1399+D1322+D1056+D633+D105+D1417+D1419</f>
        <v>3701314.5520000006</v>
      </c>
    </row>
    <row r="1829" spans="5:5" x14ac:dyDescent="0.25">
      <c r="E1829" s="730"/>
    </row>
    <row r="1830" spans="5:5" x14ac:dyDescent="0.25">
      <c r="E1830" s="730"/>
    </row>
    <row r="1831" spans="5:5" x14ac:dyDescent="0.25">
      <c r="E1831" s="730"/>
    </row>
    <row r="1832" spans="5:5" x14ac:dyDescent="0.25">
      <c r="E1832" s="730"/>
    </row>
    <row r="2000" spans="5:5" x14ac:dyDescent="0.25">
      <c r="E2000" s="730"/>
    </row>
    <row r="2056" spans="5:5" x14ac:dyDescent="0.25">
      <c r="E2056" s="730"/>
    </row>
    <row r="2062" spans="5:5" x14ac:dyDescent="0.25">
      <c r="E2062" s="730"/>
    </row>
    <row r="2064" spans="5:5" x14ac:dyDescent="0.25">
      <c r="E2064" s="730"/>
    </row>
  </sheetData>
  <mergeCells count="8">
    <mergeCell ref="A105:C105"/>
    <mergeCell ref="A1417:C1417"/>
    <mergeCell ref="A1419:C1419"/>
    <mergeCell ref="A1421:C1421"/>
    <mergeCell ref="A633:C633"/>
    <mergeCell ref="A1056:C1056"/>
    <mergeCell ref="A1322:C1322"/>
    <mergeCell ref="A1399:C139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72"/>
  <sheetViews>
    <sheetView topLeftCell="A149" workbookViewId="0">
      <selection activeCell="D103" sqref="D4:D103"/>
    </sheetView>
  </sheetViews>
  <sheetFormatPr baseColWidth="10" defaultRowHeight="15" x14ac:dyDescent="0.25"/>
  <cols>
    <col min="1" max="1" width="9.28515625" bestFit="1" customWidth="1"/>
    <col min="2" max="2" width="31.28515625" bestFit="1" customWidth="1"/>
    <col min="3" max="3" width="10.7109375" bestFit="1" customWidth="1"/>
    <col min="4" max="4" width="13.85546875" style="28" bestFit="1" customWidth="1"/>
    <col min="6" max="6" width="9.28515625" bestFit="1" customWidth="1"/>
    <col min="7" max="7" width="31.7109375" bestFit="1" customWidth="1"/>
    <col min="8" max="8" width="10.7109375" bestFit="1" customWidth="1"/>
    <col min="9" max="9" width="13.85546875" style="28" bestFit="1" customWidth="1"/>
  </cols>
  <sheetData>
    <row r="1" spans="1:9" s="404" customFormat="1" ht="15.75" thickBot="1" x14ac:dyDescent="0.3">
      <c r="A1" s="401" t="s">
        <v>268</v>
      </c>
      <c r="B1" s="402" t="s">
        <v>269</v>
      </c>
      <c r="C1" s="402" t="s">
        <v>491</v>
      </c>
      <c r="D1" s="403" t="s">
        <v>11</v>
      </c>
      <c r="F1" t="s">
        <v>268</v>
      </c>
      <c r="G1" t="s">
        <v>269</v>
      </c>
      <c r="H1" t="s">
        <v>491</v>
      </c>
      <c r="I1" s="28" t="s">
        <v>11</v>
      </c>
    </row>
    <row r="2" spans="1:9" ht="15.75" thickBot="1" x14ac:dyDescent="0.3">
      <c r="C2" s="69"/>
    </row>
    <row r="3" spans="1:9" ht="15.75" thickBot="1" x14ac:dyDescent="0.3">
      <c r="A3" s="1002" t="s">
        <v>538</v>
      </c>
      <c r="B3" s="1003"/>
      <c r="C3" s="1003"/>
      <c r="D3" s="732">
        <f>SUM(D2:D2)</f>
        <v>0</v>
      </c>
    </row>
    <row r="4" spans="1:9" x14ac:dyDescent="0.25">
      <c r="A4" t="s">
        <v>1421</v>
      </c>
      <c r="B4" t="s">
        <v>1420</v>
      </c>
      <c r="C4" s="69">
        <v>43855</v>
      </c>
      <c r="D4" s="28">
        <v>1284.848</v>
      </c>
    </row>
    <row r="5" spans="1:9" x14ac:dyDescent="0.25">
      <c r="A5" t="s">
        <v>1509</v>
      </c>
      <c r="B5" t="s">
        <v>1508</v>
      </c>
      <c r="C5" s="69">
        <v>43855</v>
      </c>
      <c r="D5" s="28">
        <v>1423.664</v>
      </c>
    </row>
    <row r="6" spans="1:9" x14ac:dyDescent="0.25">
      <c r="A6" t="s">
        <v>1411</v>
      </c>
      <c r="B6" t="s">
        <v>1410</v>
      </c>
      <c r="C6" s="69">
        <v>43858</v>
      </c>
      <c r="D6" s="28">
        <v>3151</v>
      </c>
    </row>
    <row r="7" spans="1:9" x14ac:dyDescent="0.25">
      <c r="A7" t="s">
        <v>1507</v>
      </c>
      <c r="B7" t="s">
        <v>1506</v>
      </c>
      <c r="C7" s="69">
        <v>43858</v>
      </c>
      <c r="D7" s="28">
        <v>1311.231</v>
      </c>
    </row>
    <row r="8" spans="1:9" x14ac:dyDescent="0.25">
      <c r="A8" t="s">
        <v>1505</v>
      </c>
      <c r="B8" t="s">
        <v>1504</v>
      </c>
      <c r="C8" s="69">
        <v>43859</v>
      </c>
      <c r="D8" s="28">
        <v>6075.0950000000003</v>
      </c>
    </row>
    <row r="9" spans="1:9" x14ac:dyDescent="0.25">
      <c r="A9" t="s">
        <v>1419</v>
      </c>
      <c r="B9" t="s">
        <v>1418</v>
      </c>
      <c r="C9" s="69">
        <v>43860</v>
      </c>
      <c r="D9" s="28">
        <v>2130.444</v>
      </c>
    </row>
    <row r="10" spans="1:9" x14ac:dyDescent="0.25">
      <c r="A10" t="s">
        <v>1417</v>
      </c>
      <c r="B10" t="s">
        <v>1416</v>
      </c>
      <c r="C10" s="69">
        <v>43860</v>
      </c>
      <c r="D10" s="28">
        <v>7647.8159999999998</v>
      </c>
    </row>
    <row r="11" spans="1:9" x14ac:dyDescent="0.25">
      <c r="A11" t="s">
        <v>1503</v>
      </c>
      <c r="B11" t="s">
        <v>1502</v>
      </c>
      <c r="C11" s="69">
        <v>43861</v>
      </c>
      <c r="D11" s="28">
        <v>593.93399999999997</v>
      </c>
    </row>
    <row r="12" spans="1:9" x14ac:dyDescent="0.25">
      <c r="A12" t="s">
        <v>1503</v>
      </c>
      <c r="B12" t="s">
        <v>1502</v>
      </c>
      <c r="C12" s="69">
        <v>43861</v>
      </c>
      <c r="D12" s="28">
        <v>1213.7660000000001</v>
      </c>
    </row>
    <row r="13" spans="1:9" x14ac:dyDescent="0.25">
      <c r="A13" t="s">
        <v>1415</v>
      </c>
      <c r="B13" t="s">
        <v>1414</v>
      </c>
      <c r="C13" s="69">
        <v>43861</v>
      </c>
      <c r="D13" s="28">
        <v>18281.892</v>
      </c>
    </row>
    <row r="14" spans="1:9" x14ac:dyDescent="0.25">
      <c r="A14" t="s">
        <v>1413</v>
      </c>
      <c r="B14" t="s">
        <v>1412</v>
      </c>
      <c r="C14" s="69">
        <v>43864</v>
      </c>
      <c r="D14" s="28">
        <v>770.178</v>
      </c>
    </row>
    <row r="15" spans="1:9" x14ac:dyDescent="0.25">
      <c r="A15" t="s">
        <v>1501</v>
      </c>
      <c r="B15" t="s">
        <v>1500</v>
      </c>
      <c r="C15" s="69">
        <v>43871</v>
      </c>
      <c r="D15" s="28">
        <v>1438.7650000000001</v>
      </c>
    </row>
    <row r="16" spans="1:9" x14ac:dyDescent="0.25">
      <c r="A16" t="s">
        <v>1322</v>
      </c>
      <c r="B16" t="s">
        <v>1321</v>
      </c>
      <c r="C16" s="69">
        <v>43873</v>
      </c>
      <c r="D16" s="28">
        <v>9885.6039999999994</v>
      </c>
    </row>
    <row r="17" spans="1:4" x14ac:dyDescent="0.25">
      <c r="A17" t="s">
        <v>1320</v>
      </c>
      <c r="B17" t="s">
        <v>1319</v>
      </c>
      <c r="C17" s="69">
        <v>43881</v>
      </c>
      <c r="D17" s="28">
        <v>7084.0569999999998</v>
      </c>
    </row>
    <row r="18" spans="1:4" x14ac:dyDescent="0.25">
      <c r="A18" t="s">
        <v>1411</v>
      </c>
      <c r="B18" t="s">
        <v>1410</v>
      </c>
      <c r="C18" s="69">
        <v>43881</v>
      </c>
      <c r="D18" s="28">
        <v>3152.8290000000002</v>
      </c>
    </row>
    <row r="19" spans="1:4" x14ac:dyDescent="0.25">
      <c r="A19" t="s">
        <v>1499</v>
      </c>
      <c r="B19" t="s">
        <v>1498</v>
      </c>
      <c r="C19" s="69">
        <v>43881</v>
      </c>
      <c r="D19" s="28">
        <v>1410.693</v>
      </c>
    </row>
    <row r="20" spans="1:4" x14ac:dyDescent="0.25">
      <c r="A20" t="s">
        <v>1409</v>
      </c>
      <c r="B20" t="s">
        <v>1408</v>
      </c>
      <c r="C20" s="69">
        <v>43889</v>
      </c>
      <c r="D20" s="28">
        <v>5162.7569999999996</v>
      </c>
    </row>
    <row r="21" spans="1:4" x14ac:dyDescent="0.25">
      <c r="A21" t="s">
        <v>1497</v>
      </c>
      <c r="B21" t="s">
        <v>1496</v>
      </c>
      <c r="C21" s="69">
        <v>43889</v>
      </c>
      <c r="D21" s="28">
        <v>1149.5229999999999</v>
      </c>
    </row>
    <row r="22" spans="1:4" x14ac:dyDescent="0.25">
      <c r="A22" t="s">
        <v>1495</v>
      </c>
      <c r="B22" t="s">
        <v>1494</v>
      </c>
      <c r="C22" s="69">
        <v>43889</v>
      </c>
      <c r="D22" s="28">
        <v>1369.135</v>
      </c>
    </row>
    <row r="23" spans="1:4" x14ac:dyDescent="0.25">
      <c r="A23" t="s">
        <v>1493</v>
      </c>
      <c r="B23" t="s">
        <v>1492</v>
      </c>
      <c r="C23" s="69">
        <v>43889</v>
      </c>
      <c r="D23" s="28">
        <v>1815.701</v>
      </c>
    </row>
    <row r="24" spans="1:4" x14ac:dyDescent="0.25">
      <c r="A24" t="s">
        <v>1479</v>
      </c>
      <c r="B24" t="s">
        <v>1478</v>
      </c>
      <c r="C24" s="69">
        <v>43889</v>
      </c>
      <c r="D24" s="28">
        <v>2580.5050000000001</v>
      </c>
    </row>
    <row r="25" spans="1:4" x14ac:dyDescent="0.25">
      <c r="A25" t="s">
        <v>1318</v>
      </c>
      <c r="B25" t="s">
        <v>1317</v>
      </c>
      <c r="C25" s="69">
        <v>43889</v>
      </c>
      <c r="D25" s="28">
        <v>4882.3609999999999</v>
      </c>
    </row>
    <row r="26" spans="1:4" x14ac:dyDescent="0.25">
      <c r="A26" t="s">
        <v>1407</v>
      </c>
      <c r="B26" t="s">
        <v>1406</v>
      </c>
      <c r="C26" s="69">
        <v>43889</v>
      </c>
      <c r="D26" s="28">
        <v>4926.8900000000003</v>
      </c>
    </row>
    <row r="27" spans="1:4" x14ac:dyDescent="0.25">
      <c r="A27" t="s">
        <v>1491</v>
      </c>
      <c r="B27" t="s">
        <v>1490</v>
      </c>
      <c r="C27" s="69">
        <v>43889</v>
      </c>
      <c r="D27" s="28">
        <v>4578.366</v>
      </c>
    </row>
    <row r="28" spans="1:4" x14ac:dyDescent="0.25">
      <c r="A28" t="s">
        <v>1405</v>
      </c>
      <c r="B28" t="s">
        <v>1404</v>
      </c>
      <c r="C28" s="69">
        <v>43889</v>
      </c>
      <c r="D28" s="28">
        <v>23695.940999999999</v>
      </c>
    </row>
    <row r="29" spans="1:4" x14ac:dyDescent="0.25">
      <c r="A29" t="s">
        <v>1489</v>
      </c>
      <c r="B29" t="s">
        <v>1488</v>
      </c>
      <c r="C29" s="69">
        <v>43889</v>
      </c>
      <c r="D29" s="28">
        <v>2302.8820000000001</v>
      </c>
    </row>
    <row r="30" spans="1:4" x14ac:dyDescent="0.25">
      <c r="A30" t="s">
        <v>1481</v>
      </c>
      <c r="B30" t="s">
        <v>1480</v>
      </c>
      <c r="C30" s="69">
        <v>43890</v>
      </c>
      <c r="D30" s="28">
        <v>6429.8549999999996</v>
      </c>
    </row>
    <row r="31" spans="1:4" x14ac:dyDescent="0.25">
      <c r="A31" t="s">
        <v>1403</v>
      </c>
      <c r="B31" t="s">
        <v>1402</v>
      </c>
      <c r="C31" s="69">
        <v>43890</v>
      </c>
      <c r="D31" s="28">
        <v>906.69600000000003</v>
      </c>
    </row>
    <row r="32" spans="1:4" x14ac:dyDescent="0.25">
      <c r="A32" t="s">
        <v>1401</v>
      </c>
      <c r="B32" t="s">
        <v>1400</v>
      </c>
      <c r="C32" s="69">
        <v>43890</v>
      </c>
      <c r="D32" s="28">
        <v>6191.8879999999999</v>
      </c>
    </row>
    <row r="33" spans="1:4" x14ac:dyDescent="0.25">
      <c r="A33" t="s">
        <v>1397</v>
      </c>
      <c r="B33" t="s">
        <v>1396</v>
      </c>
      <c r="C33" s="69">
        <v>43890</v>
      </c>
      <c r="D33" s="28">
        <v>4036.1280000000002</v>
      </c>
    </row>
    <row r="34" spans="1:4" x14ac:dyDescent="0.25">
      <c r="A34" t="s">
        <v>1487</v>
      </c>
      <c r="B34" t="s">
        <v>1486</v>
      </c>
      <c r="C34" s="69">
        <v>43890</v>
      </c>
      <c r="D34" s="28">
        <v>3888.5540000000001</v>
      </c>
    </row>
    <row r="35" spans="1:4" x14ac:dyDescent="0.25">
      <c r="A35" t="s">
        <v>1485</v>
      </c>
      <c r="B35" t="s">
        <v>1484</v>
      </c>
      <c r="C35" s="69">
        <v>43894</v>
      </c>
      <c r="D35" s="28">
        <v>27942.656999999999</v>
      </c>
    </row>
    <row r="36" spans="1:4" x14ac:dyDescent="0.25">
      <c r="A36" t="s">
        <v>1453</v>
      </c>
      <c r="B36" t="s">
        <v>1452</v>
      </c>
      <c r="C36" s="69">
        <v>43895</v>
      </c>
      <c r="D36" s="28">
        <v>1250</v>
      </c>
    </row>
    <row r="37" spans="1:4" x14ac:dyDescent="0.25">
      <c r="A37" t="s">
        <v>1461</v>
      </c>
      <c r="B37" t="s">
        <v>1460</v>
      </c>
      <c r="C37" s="69">
        <v>43895</v>
      </c>
      <c r="D37" s="28">
        <v>1435</v>
      </c>
    </row>
    <row r="38" spans="1:4" x14ac:dyDescent="0.25">
      <c r="A38" t="s">
        <v>1399</v>
      </c>
      <c r="B38" t="s">
        <v>1398</v>
      </c>
      <c r="C38" s="69">
        <v>43899</v>
      </c>
      <c r="D38" s="28">
        <v>478.80200000000002</v>
      </c>
    </row>
    <row r="39" spans="1:4" x14ac:dyDescent="0.25">
      <c r="A39" t="s">
        <v>1483</v>
      </c>
      <c r="B39" t="s">
        <v>1482</v>
      </c>
      <c r="C39" s="69">
        <v>43899</v>
      </c>
      <c r="D39" s="28">
        <v>4220.8239999999996</v>
      </c>
    </row>
    <row r="40" spans="1:4" x14ac:dyDescent="0.25">
      <c r="A40" t="s">
        <v>1381</v>
      </c>
      <c r="B40" t="s">
        <v>1380</v>
      </c>
      <c r="C40" s="69">
        <v>43903</v>
      </c>
      <c r="D40" s="28">
        <v>1779.4469999999999</v>
      </c>
    </row>
    <row r="41" spans="1:4" x14ac:dyDescent="0.25">
      <c r="A41" t="s">
        <v>1385</v>
      </c>
      <c r="B41" t="s">
        <v>1384</v>
      </c>
      <c r="C41" s="69">
        <v>43905</v>
      </c>
      <c r="D41" s="28">
        <v>1821.1369999999999</v>
      </c>
    </row>
    <row r="42" spans="1:4" x14ac:dyDescent="0.25">
      <c r="A42" t="s">
        <v>1479</v>
      </c>
      <c r="B42" t="s">
        <v>1478</v>
      </c>
      <c r="C42" s="69">
        <v>43905</v>
      </c>
      <c r="D42" s="28">
        <v>2496.7260000000001</v>
      </c>
    </row>
    <row r="43" spans="1:4" x14ac:dyDescent="0.25">
      <c r="A43" t="s">
        <v>1316</v>
      </c>
      <c r="B43" t="s">
        <v>1315</v>
      </c>
      <c r="C43" s="69">
        <v>43905</v>
      </c>
      <c r="D43" s="28">
        <v>1780.0319999999999</v>
      </c>
    </row>
    <row r="44" spans="1:4" x14ac:dyDescent="0.25">
      <c r="A44" t="s">
        <v>1481</v>
      </c>
      <c r="B44" t="s">
        <v>1480</v>
      </c>
      <c r="C44" s="69">
        <v>43905</v>
      </c>
      <c r="D44" s="28">
        <v>6429.8549999999996</v>
      </c>
    </row>
    <row r="45" spans="1:4" x14ac:dyDescent="0.25">
      <c r="A45" t="s">
        <v>1072</v>
      </c>
      <c r="B45" t="s">
        <v>1073</v>
      </c>
      <c r="C45" s="69">
        <v>43905</v>
      </c>
      <c r="D45" s="28">
        <v>7000</v>
      </c>
    </row>
    <row r="46" spans="1:4" x14ac:dyDescent="0.25">
      <c r="A46" t="s">
        <v>1072</v>
      </c>
      <c r="B46" t="s">
        <v>1073</v>
      </c>
      <c r="C46" s="69">
        <v>43905</v>
      </c>
      <c r="D46" s="28">
        <v>6900</v>
      </c>
    </row>
    <row r="47" spans="1:4" s="730" customFormat="1" x14ac:dyDescent="0.25">
      <c r="A47" t="s">
        <v>492</v>
      </c>
      <c r="B47" t="s">
        <v>493</v>
      </c>
      <c r="C47" s="69">
        <v>43906</v>
      </c>
      <c r="D47" s="28">
        <v>25437</v>
      </c>
    </row>
    <row r="48" spans="1:4" x14ac:dyDescent="0.25">
      <c r="A48" t="s">
        <v>1210</v>
      </c>
      <c r="B48" t="s">
        <v>1209</v>
      </c>
      <c r="C48" s="69">
        <v>43906</v>
      </c>
      <c r="D48" s="28">
        <v>1311</v>
      </c>
    </row>
    <row r="49" spans="1:4" x14ac:dyDescent="0.25">
      <c r="A49" t="s">
        <v>496</v>
      </c>
      <c r="B49" t="s">
        <v>497</v>
      </c>
      <c r="C49" s="69">
        <v>43908</v>
      </c>
      <c r="D49" s="28">
        <v>2975.105</v>
      </c>
    </row>
    <row r="50" spans="1:4" x14ac:dyDescent="0.25">
      <c r="A50" t="s">
        <v>1222</v>
      </c>
      <c r="B50" t="s">
        <v>1221</v>
      </c>
      <c r="C50" s="69">
        <v>43910</v>
      </c>
      <c r="D50" s="28">
        <v>2524</v>
      </c>
    </row>
    <row r="51" spans="1:4" x14ac:dyDescent="0.25">
      <c r="A51" t="s">
        <v>1381</v>
      </c>
      <c r="B51" t="s">
        <v>1380</v>
      </c>
      <c r="C51" s="69">
        <v>43910</v>
      </c>
      <c r="D51" s="28">
        <v>1779.4469999999999</v>
      </c>
    </row>
    <row r="52" spans="1:4" x14ac:dyDescent="0.25">
      <c r="A52" t="s">
        <v>1393</v>
      </c>
      <c r="B52" t="s">
        <v>1392</v>
      </c>
      <c r="C52" s="69">
        <v>43910</v>
      </c>
      <c r="D52" s="28">
        <v>1640.329</v>
      </c>
    </row>
    <row r="53" spans="1:4" x14ac:dyDescent="0.25">
      <c r="A53" t="s">
        <v>907</v>
      </c>
      <c r="B53" t="s">
        <v>906</v>
      </c>
      <c r="C53" s="69">
        <v>43910</v>
      </c>
      <c r="D53" s="28">
        <v>1226.046</v>
      </c>
    </row>
    <row r="54" spans="1:4" x14ac:dyDescent="0.25">
      <c r="A54" t="s">
        <v>1218</v>
      </c>
      <c r="B54" t="s">
        <v>1217</v>
      </c>
      <c r="C54" s="69">
        <v>43910</v>
      </c>
      <c r="D54" s="28">
        <v>17618.204000000002</v>
      </c>
    </row>
    <row r="55" spans="1:4" x14ac:dyDescent="0.25">
      <c r="A55" t="s">
        <v>990</v>
      </c>
      <c r="B55" t="s">
        <v>989</v>
      </c>
      <c r="C55" s="69">
        <v>43910</v>
      </c>
      <c r="D55" s="28">
        <v>2000</v>
      </c>
    </row>
    <row r="56" spans="1:4" x14ac:dyDescent="0.25">
      <c r="A56" t="s">
        <v>1210</v>
      </c>
      <c r="B56" t="s">
        <v>1209</v>
      </c>
      <c r="C56" s="69">
        <v>43910</v>
      </c>
      <c r="D56" s="28">
        <v>1312</v>
      </c>
    </row>
    <row r="57" spans="1:4" x14ac:dyDescent="0.25">
      <c r="A57" t="s">
        <v>1477</v>
      </c>
      <c r="B57" t="s">
        <v>1476</v>
      </c>
      <c r="C57" s="69">
        <v>43910</v>
      </c>
      <c r="D57" s="28">
        <v>2451.2840000000001</v>
      </c>
    </row>
    <row r="58" spans="1:4" x14ac:dyDescent="0.25">
      <c r="A58" t="s">
        <v>1214</v>
      </c>
      <c r="B58" t="s">
        <v>1213</v>
      </c>
      <c r="C58" s="69">
        <v>43911</v>
      </c>
      <c r="D58" s="28">
        <v>2554.42</v>
      </c>
    </row>
    <row r="59" spans="1:4" x14ac:dyDescent="0.25">
      <c r="A59" t="s">
        <v>1216</v>
      </c>
      <c r="B59" t="s">
        <v>1215</v>
      </c>
      <c r="C59" s="69">
        <v>43913</v>
      </c>
      <c r="D59" s="28">
        <v>5221.4089999999997</v>
      </c>
    </row>
    <row r="60" spans="1:4" x14ac:dyDescent="0.25">
      <c r="A60" t="s">
        <v>1210</v>
      </c>
      <c r="B60" t="s">
        <v>1209</v>
      </c>
      <c r="C60" s="69">
        <v>43914</v>
      </c>
      <c r="D60" s="28">
        <v>1313</v>
      </c>
    </row>
    <row r="61" spans="1:4" x14ac:dyDescent="0.25">
      <c r="A61" t="s">
        <v>861</v>
      </c>
      <c r="B61" t="s">
        <v>860</v>
      </c>
      <c r="C61" s="69">
        <v>43915</v>
      </c>
      <c r="D61" s="28">
        <v>4244.5469999999996</v>
      </c>
    </row>
    <row r="62" spans="1:4" x14ac:dyDescent="0.25">
      <c r="A62" t="s">
        <v>1067</v>
      </c>
      <c r="B62" t="s">
        <v>1066</v>
      </c>
      <c r="C62" s="69">
        <v>43915</v>
      </c>
      <c r="D62" s="28">
        <v>9290.35</v>
      </c>
    </row>
    <row r="63" spans="1:4" x14ac:dyDescent="0.25">
      <c r="A63" t="s">
        <v>494</v>
      </c>
      <c r="B63" t="s">
        <v>495</v>
      </c>
      <c r="C63" s="69">
        <v>43915</v>
      </c>
      <c r="D63" s="28">
        <v>915.23400000000004</v>
      </c>
    </row>
    <row r="64" spans="1:4" x14ac:dyDescent="0.25">
      <c r="A64" t="s">
        <v>1393</v>
      </c>
      <c r="B64" t="s">
        <v>1392</v>
      </c>
      <c r="C64" s="69">
        <v>43915</v>
      </c>
      <c r="D64" s="28">
        <v>1640.329</v>
      </c>
    </row>
    <row r="65" spans="1:4" x14ac:dyDescent="0.25">
      <c r="A65" t="s">
        <v>1224</v>
      </c>
      <c r="B65" t="s">
        <v>1223</v>
      </c>
      <c r="C65" s="69">
        <v>43915</v>
      </c>
      <c r="D65" s="28">
        <v>2442.3609999999999</v>
      </c>
    </row>
    <row r="66" spans="1:4" x14ac:dyDescent="0.25">
      <c r="A66" t="s">
        <v>1457</v>
      </c>
      <c r="B66" t="s">
        <v>1456</v>
      </c>
      <c r="C66" s="69">
        <v>43915</v>
      </c>
      <c r="D66" s="28">
        <v>1463.2059999999999</v>
      </c>
    </row>
    <row r="67" spans="1:4" x14ac:dyDescent="0.25">
      <c r="A67" t="s">
        <v>990</v>
      </c>
      <c r="B67" t="s">
        <v>989</v>
      </c>
      <c r="C67" s="69">
        <v>43915</v>
      </c>
      <c r="D67" s="28">
        <v>2000</v>
      </c>
    </row>
    <row r="68" spans="1:4" x14ac:dyDescent="0.25">
      <c r="A68" t="s">
        <v>1216</v>
      </c>
      <c r="B68" t="s">
        <v>1215</v>
      </c>
      <c r="C68" s="69">
        <v>43916</v>
      </c>
      <c r="D68" s="28">
        <v>5221.41</v>
      </c>
    </row>
    <row r="69" spans="1:4" x14ac:dyDescent="0.25">
      <c r="A69" t="s">
        <v>1214</v>
      </c>
      <c r="B69" t="s">
        <v>1213</v>
      </c>
      <c r="C69" s="69">
        <v>43917</v>
      </c>
      <c r="D69" s="28">
        <v>2554.42</v>
      </c>
    </row>
    <row r="70" spans="1:4" s="730" customFormat="1" x14ac:dyDescent="0.25">
      <c r="A70" t="s">
        <v>1381</v>
      </c>
      <c r="B70" t="s">
        <v>1380</v>
      </c>
      <c r="C70" s="69">
        <v>43917</v>
      </c>
      <c r="D70" s="28">
        <v>1779.4469999999999</v>
      </c>
    </row>
    <row r="71" spans="1:4" s="396" customFormat="1" x14ac:dyDescent="0.25">
      <c r="A71" t="s">
        <v>492</v>
      </c>
      <c r="B71" t="s">
        <v>493</v>
      </c>
      <c r="C71" s="69">
        <v>43917</v>
      </c>
      <c r="D71" s="28">
        <v>25437</v>
      </c>
    </row>
    <row r="72" spans="1:4" s="737" customFormat="1" x14ac:dyDescent="0.25">
      <c r="A72" t="s">
        <v>496</v>
      </c>
      <c r="B72" t="s">
        <v>497</v>
      </c>
      <c r="C72" s="69">
        <v>43918</v>
      </c>
      <c r="D72" s="28">
        <v>3298.5549999999998</v>
      </c>
    </row>
    <row r="73" spans="1:4" x14ac:dyDescent="0.25">
      <c r="A73" t="s">
        <v>1397</v>
      </c>
      <c r="B73" t="s">
        <v>1396</v>
      </c>
      <c r="C73" s="69">
        <v>43918</v>
      </c>
      <c r="D73" s="28">
        <v>5766.3289999999997</v>
      </c>
    </row>
    <row r="74" spans="1:4" x14ac:dyDescent="0.25">
      <c r="A74" t="s">
        <v>1395</v>
      </c>
      <c r="B74" t="s">
        <v>1394</v>
      </c>
      <c r="C74" s="69">
        <v>43918</v>
      </c>
      <c r="D74" s="28">
        <v>7297.5770000000002</v>
      </c>
    </row>
    <row r="75" spans="1:4" x14ac:dyDescent="0.25">
      <c r="A75" t="s">
        <v>1241</v>
      </c>
      <c r="B75" t="s">
        <v>1240</v>
      </c>
      <c r="C75" s="69">
        <v>43920</v>
      </c>
      <c r="D75" s="28">
        <v>2909.326</v>
      </c>
    </row>
    <row r="76" spans="1:4" x14ac:dyDescent="0.25">
      <c r="A76" t="s">
        <v>1479</v>
      </c>
      <c r="B76" t="s">
        <v>1478</v>
      </c>
      <c r="C76" s="69">
        <v>43920</v>
      </c>
      <c r="D76" s="28">
        <v>2580.5050000000001</v>
      </c>
    </row>
    <row r="77" spans="1:4" x14ac:dyDescent="0.25">
      <c r="A77" t="s">
        <v>1220</v>
      </c>
      <c r="B77" t="s">
        <v>1219</v>
      </c>
      <c r="C77" s="69">
        <v>43920</v>
      </c>
      <c r="D77" s="28">
        <v>16354.263999999999</v>
      </c>
    </row>
    <row r="78" spans="1:4" x14ac:dyDescent="0.25">
      <c r="A78" t="s">
        <v>1302</v>
      </c>
      <c r="B78" t="s">
        <v>1301</v>
      </c>
      <c r="C78" s="69">
        <v>43920</v>
      </c>
      <c r="D78" s="28">
        <v>9000</v>
      </c>
    </row>
    <row r="79" spans="1:4" x14ac:dyDescent="0.25">
      <c r="A79" t="s">
        <v>1477</v>
      </c>
      <c r="B79" t="s">
        <v>1476</v>
      </c>
      <c r="C79" s="69">
        <v>43920</v>
      </c>
      <c r="D79" s="28">
        <v>2451.2840000000001</v>
      </c>
    </row>
    <row r="80" spans="1:4" x14ac:dyDescent="0.25">
      <c r="A80" t="s">
        <v>1475</v>
      </c>
      <c r="B80" t="s">
        <v>1474</v>
      </c>
      <c r="C80" s="69">
        <v>43920</v>
      </c>
      <c r="D80" s="28">
        <v>16987.683000000001</v>
      </c>
    </row>
    <row r="81" spans="1:4" x14ac:dyDescent="0.25">
      <c r="A81" t="s">
        <v>1473</v>
      </c>
      <c r="B81" t="s">
        <v>1472</v>
      </c>
      <c r="C81" s="69">
        <v>43920</v>
      </c>
      <c r="D81" s="28">
        <v>4090.8780000000002</v>
      </c>
    </row>
    <row r="82" spans="1:4" x14ac:dyDescent="0.25">
      <c r="A82" t="s">
        <v>1222</v>
      </c>
      <c r="B82" t="s">
        <v>1221</v>
      </c>
      <c r="C82" s="69">
        <v>43921</v>
      </c>
      <c r="D82" s="28">
        <v>2524</v>
      </c>
    </row>
    <row r="83" spans="1:4" x14ac:dyDescent="0.25">
      <c r="A83" t="s">
        <v>1393</v>
      </c>
      <c r="B83" t="s">
        <v>1392</v>
      </c>
      <c r="C83" s="69">
        <v>43921</v>
      </c>
      <c r="D83" s="28">
        <v>1640.329</v>
      </c>
    </row>
    <row r="84" spans="1:4" x14ac:dyDescent="0.25">
      <c r="A84" t="s">
        <v>1471</v>
      </c>
      <c r="B84" t="s">
        <v>1470</v>
      </c>
      <c r="C84" s="69">
        <v>43921</v>
      </c>
      <c r="D84" s="28">
        <v>975.09100000000001</v>
      </c>
    </row>
    <row r="85" spans="1:4" x14ac:dyDescent="0.25">
      <c r="A85" t="s">
        <v>1469</v>
      </c>
      <c r="B85" t="s">
        <v>1468</v>
      </c>
      <c r="C85" s="69">
        <v>43921</v>
      </c>
      <c r="D85" s="28">
        <v>1971.0619999999999</v>
      </c>
    </row>
    <row r="86" spans="1:4" x14ac:dyDescent="0.25">
      <c r="A86" t="s">
        <v>992</v>
      </c>
      <c r="B86" t="s">
        <v>991</v>
      </c>
      <c r="C86" s="69">
        <v>43921</v>
      </c>
      <c r="D86" s="28">
        <v>4592.2520000000004</v>
      </c>
    </row>
    <row r="87" spans="1:4" x14ac:dyDescent="0.25">
      <c r="A87" t="s">
        <v>1074</v>
      </c>
      <c r="B87" t="s">
        <v>1075</v>
      </c>
      <c r="C87" s="69">
        <v>43921</v>
      </c>
      <c r="D87" s="28">
        <v>5500</v>
      </c>
    </row>
    <row r="88" spans="1:4" x14ac:dyDescent="0.25">
      <c r="A88" t="s">
        <v>1218</v>
      </c>
      <c r="B88" t="s">
        <v>1217</v>
      </c>
      <c r="C88" s="69">
        <v>43921</v>
      </c>
      <c r="D88" s="28">
        <v>17618.204000000002</v>
      </c>
    </row>
    <row r="89" spans="1:4" x14ac:dyDescent="0.25">
      <c r="A89" t="s">
        <v>1314</v>
      </c>
      <c r="B89" t="s">
        <v>1313</v>
      </c>
      <c r="C89" s="69">
        <v>43921</v>
      </c>
      <c r="D89" s="28">
        <v>1871.203</v>
      </c>
    </row>
    <row r="90" spans="1:4" x14ac:dyDescent="0.25">
      <c r="A90" t="s">
        <v>1312</v>
      </c>
      <c r="B90" t="s">
        <v>1311</v>
      </c>
      <c r="C90" s="69">
        <v>43921</v>
      </c>
      <c r="D90" s="28">
        <v>3611.8090000000002</v>
      </c>
    </row>
    <row r="91" spans="1:4" x14ac:dyDescent="0.25">
      <c r="A91" t="s">
        <v>1310</v>
      </c>
      <c r="B91" t="s">
        <v>1309</v>
      </c>
      <c r="C91" s="69">
        <v>43921</v>
      </c>
      <c r="D91" s="28">
        <v>1842.9469999999999</v>
      </c>
    </row>
    <row r="92" spans="1:4" x14ac:dyDescent="0.25">
      <c r="A92" t="s">
        <v>1467</v>
      </c>
      <c r="B92" t="s">
        <v>1466</v>
      </c>
      <c r="C92" s="69">
        <v>43921</v>
      </c>
      <c r="D92" s="28">
        <v>2180.9079999999999</v>
      </c>
    </row>
    <row r="93" spans="1:4" x14ac:dyDescent="0.25">
      <c r="A93" t="s">
        <v>1465</v>
      </c>
      <c r="B93" t="s">
        <v>1464</v>
      </c>
      <c r="C93" s="69">
        <v>43921</v>
      </c>
      <c r="D93" s="28">
        <v>3841.7579999999998</v>
      </c>
    </row>
    <row r="94" spans="1:4" x14ac:dyDescent="0.25">
      <c r="A94" t="s">
        <v>1463</v>
      </c>
      <c r="B94" t="s">
        <v>1462</v>
      </c>
      <c r="C94" s="69">
        <v>43921</v>
      </c>
      <c r="D94" s="28">
        <v>2596.8159999999998</v>
      </c>
    </row>
    <row r="95" spans="1:4" x14ac:dyDescent="0.25">
      <c r="A95" t="s">
        <v>1210</v>
      </c>
      <c r="B95" t="s">
        <v>1209</v>
      </c>
      <c r="C95" s="69">
        <v>43921</v>
      </c>
      <c r="D95" s="28">
        <v>1314</v>
      </c>
    </row>
    <row r="96" spans="1:4" x14ac:dyDescent="0.25">
      <c r="A96" t="s">
        <v>1308</v>
      </c>
      <c r="B96" t="s">
        <v>1307</v>
      </c>
      <c r="C96" s="69">
        <v>43921</v>
      </c>
      <c r="D96" s="28">
        <v>2153.5720000000001</v>
      </c>
    </row>
    <row r="97" spans="1:4" x14ac:dyDescent="0.25">
      <c r="A97" t="s">
        <v>1072</v>
      </c>
      <c r="B97" t="s">
        <v>1073</v>
      </c>
      <c r="C97" s="69">
        <v>43921</v>
      </c>
      <c r="D97" s="28">
        <v>7100</v>
      </c>
    </row>
    <row r="98" spans="1:4" x14ac:dyDescent="0.25">
      <c r="A98" t="s">
        <v>1072</v>
      </c>
      <c r="B98" t="s">
        <v>1073</v>
      </c>
      <c r="C98" s="69">
        <v>43921</v>
      </c>
      <c r="D98" s="28">
        <v>6600</v>
      </c>
    </row>
    <row r="99" spans="1:4" x14ac:dyDescent="0.25">
      <c r="A99" t="s">
        <v>1072</v>
      </c>
      <c r="B99" t="s">
        <v>1073</v>
      </c>
      <c r="C99" s="69">
        <v>43921</v>
      </c>
      <c r="D99" s="28">
        <v>6200</v>
      </c>
    </row>
    <row r="100" spans="1:4" x14ac:dyDescent="0.25">
      <c r="A100" t="s">
        <v>1391</v>
      </c>
      <c r="B100" t="s">
        <v>1390</v>
      </c>
      <c r="C100" s="69">
        <v>43921</v>
      </c>
      <c r="D100" s="28">
        <v>1218.8630000000001</v>
      </c>
    </row>
    <row r="101" spans="1:4" x14ac:dyDescent="0.25">
      <c r="A101" t="s">
        <v>1389</v>
      </c>
      <c r="B101" t="s">
        <v>1388</v>
      </c>
      <c r="C101" s="69">
        <v>43921</v>
      </c>
      <c r="D101" s="28">
        <v>5186.915</v>
      </c>
    </row>
    <row r="102" spans="1:4" x14ac:dyDescent="0.25">
      <c r="A102" t="s">
        <v>1387</v>
      </c>
      <c r="B102" t="s">
        <v>1386</v>
      </c>
      <c r="C102" s="69">
        <v>43921</v>
      </c>
      <c r="D102" s="28">
        <v>7217.9309999999996</v>
      </c>
    </row>
    <row r="103" spans="1:4" x14ac:dyDescent="0.25">
      <c r="A103" t="s">
        <v>1306</v>
      </c>
      <c r="B103" t="s">
        <v>1305</v>
      </c>
      <c r="C103" s="69">
        <v>43921</v>
      </c>
      <c r="D103" s="28">
        <v>4119.5780000000004</v>
      </c>
    </row>
    <row r="104" spans="1:4" x14ac:dyDescent="0.25">
      <c r="A104" t="s">
        <v>1216</v>
      </c>
      <c r="B104" t="s">
        <v>1215</v>
      </c>
      <c r="C104" s="69">
        <v>43924</v>
      </c>
      <c r="D104" s="28">
        <v>5221.4120000000003</v>
      </c>
    </row>
    <row r="105" spans="1:4" x14ac:dyDescent="0.25">
      <c r="A105" t="s">
        <v>1304</v>
      </c>
      <c r="B105" t="s">
        <v>1303</v>
      </c>
      <c r="C105" s="69">
        <v>43926</v>
      </c>
      <c r="D105" s="28">
        <v>5755.9539999999997</v>
      </c>
    </row>
    <row r="106" spans="1:4" x14ac:dyDescent="0.25">
      <c r="A106" t="s">
        <v>1385</v>
      </c>
      <c r="B106" t="s">
        <v>1384</v>
      </c>
      <c r="C106" s="69">
        <v>43926</v>
      </c>
      <c r="D106" s="28">
        <v>1821.1369999999999</v>
      </c>
    </row>
    <row r="107" spans="1:4" x14ac:dyDescent="0.25">
      <c r="A107" t="s">
        <v>1383</v>
      </c>
      <c r="B107" t="s">
        <v>1382</v>
      </c>
      <c r="C107" s="69">
        <v>43926</v>
      </c>
      <c r="D107" s="28">
        <v>1942.0309999999999</v>
      </c>
    </row>
    <row r="108" spans="1:4" x14ac:dyDescent="0.25">
      <c r="A108" t="s">
        <v>1224</v>
      </c>
      <c r="B108" t="s">
        <v>1223</v>
      </c>
      <c r="C108" s="69">
        <v>43926</v>
      </c>
      <c r="D108" s="28">
        <v>2440</v>
      </c>
    </row>
    <row r="109" spans="1:4" x14ac:dyDescent="0.25">
      <c r="A109" t="s">
        <v>1461</v>
      </c>
      <c r="B109" t="s">
        <v>1460</v>
      </c>
      <c r="C109" s="69">
        <v>43926</v>
      </c>
      <c r="D109" s="28">
        <v>1437.9749999999999</v>
      </c>
    </row>
    <row r="110" spans="1:4" x14ac:dyDescent="0.25">
      <c r="A110" t="s">
        <v>1381</v>
      </c>
      <c r="B110" t="s">
        <v>1380</v>
      </c>
      <c r="C110" s="69">
        <v>43927</v>
      </c>
      <c r="D110" s="28">
        <v>1779.4469999999999</v>
      </c>
    </row>
    <row r="111" spans="1:4" x14ac:dyDescent="0.25">
      <c r="A111" t="s">
        <v>492</v>
      </c>
      <c r="B111" t="s">
        <v>493</v>
      </c>
      <c r="C111" s="69">
        <v>43927</v>
      </c>
      <c r="D111" s="28">
        <v>25437.776000000002</v>
      </c>
    </row>
    <row r="112" spans="1:4" x14ac:dyDescent="0.25">
      <c r="A112" t="s">
        <v>1214</v>
      </c>
      <c r="B112" t="s">
        <v>1213</v>
      </c>
      <c r="C112" s="69">
        <v>43928</v>
      </c>
      <c r="D112" s="28">
        <v>2554.42</v>
      </c>
    </row>
    <row r="113" spans="1:4" x14ac:dyDescent="0.25">
      <c r="A113" t="s">
        <v>1210</v>
      </c>
      <c r="B113" t="s">
        <v>1209</v>
      </c>
      <c r="C113" s="69">
        <v>43929</v>
      </c>
      <c r="D113" s="28">
        <v>1315</v>
      </c>
    </row>
    <row r="114" spans="1:4" x14ac:dyDescent="0.25">
      <c r="A114" t="s">
        <v>496</v>
      </c>
      <c r="B114" t="s">
        <v>497</v>
      </c>
      <c r="C114" s="69">
        <v>43931</v>
      </c>
      <c r="D114" s="28">
        <v>3000</v>
      </c>
    </row>
    <row r="115" spans="1:4" x14ac:dyDescent="0.25">
      <c r="A115" t="s">
        <v>1222</v>
      </c>
      <c r="B115" t="s">
        <v>1221</v>
      </c>
      <c r="C115" s="69">
        <v>43931</v>
      </c>
      <c r="D115" s="28">
        <v>2526.3020000000001</v>
      </c>
    </row>
    <row r="116" spans="1:4" x14ac:dyDescent="0.25">
      <c r="A116" t="s">
        <v>1379</v>
      </c>
      <c r="B116" t="s">
        <v>1378</v>
      </c>
      <c r="C116" s="69">
        <v>43931</v>
      </c>
      <c r="D116" s="28">
        <v>3253.2510000000002</v>
      </c>
    </row>
    <row r="117" spans="1:4" x14ac:dyDescent="0.25">
      <c r="A117" t="s">
        <v>1459</v>
      </c>
      <c r="B117" t="s">
        <v>1458</v>
      </c>
      <c r="C117" s="69">
        <v>43931</v>
      </c>
      <c r="D117" s="28">
        <v>80880.123000000007</v>
      </c>
    </row>
    <row r="118" spans="1:4" x14ac:dyDescent="0.25">
      <c r="A118" t="s">
        <v>1457</v>
      </c>
      <c r="B118" t="s">
        <v>1456</v>
      </c>
      <c r="C118" s="69">
        <v>43931</v>
      </c>
      <c r="D118" s="28">
        <v>1463.2059999999999</v>
      </c>
    </row>
    <row r="119" spans="1:4" x14ac:dyDescent="0.25">
      <c r="A119" t="s">
        <v>990</v>
      </c>
      <c r="B119" t="s">
        <v>989</v>
      </c>
      <c r="C119" s="69">
        <v>43931</v>
      </c>
      <c r="D119" s="28">
        <v>1800</v>
      </c>
    </row>
    <row r="120" spans="1:4" x14ac:dyDescent="0.25">
      <c r="A120" t="s">
        <v>1210</v>
      </c>
      <c r="B120" t="s">
        <v>1209</v>
      </c>
      <c r="C120" s="69">
        <v>43933</v>
      </c>
      <c r="D120" s="28">
        <v>1316</v>
      </c>
    </row>
    <row r="121" spans="1:4" x14ac:dyDescent="0.25">
      <c r="A121" t="s">
        <v>1214</v>
      </c>
      <c r="B121" t="s">
        <v>1213</v>
      </c>
      <c r="C121" s="69">
        <v>43935</v>
      </c>
      <c r="D121" s="28">
        <v>2519.7779999999998</v>
      </c>
    </row>
    <row r="122" spans="1:4" x14ac:dyDescent="0.25">
      <c r="A122" t="s">
        <v>1241</v>
      </c>
      <c r="B122" t="s">
        <v>1240</v>
      </c>
      <c r="C122" s="69">
        <v>43936</v>
      </c>
      <c r="D122" s="28">
        <v>2909.326</v>
      </c>
    </row>
    <row r="123" spans="1:4" x14ac:dyDescent="0.25">
      <c r="A123" t="s">
        <v>1453</v>
      </c>
      <c r="B123" t="s">
        <v>1452</v>
      </c>
      <c r="C123" s="69">
        <v>43936</v>
      </c>
      <c r="D123" s="28">
        <v>1255.598</v>
      </c>
    </row>
    <row r="124" spans="1:4" x14ac:dyDescent="0.25">
      <c r="A124" t="s">
        <v>1074</v>
      </c>
      <c r="B124" t="s">
        <v>1075</v>
      </c>
      <c r="C124" s="69">
        <v>43936</v>
      </c>
      <c r="D124" s="28">
        <v>4915.0190000000002</v>
      </c>
    </row>
    <row r="125" spans="1:4" x14ac:dyDescent="0.25">
      <c r="A125" t="s">
        <v>1216</v>
      </c>
      <c r="B125" t="s">
        <v>1215</v>
      </c>
      <c r="C125" s="69">
        <v>43936</v>
      </c>
      <c r="D125" s="28">
        <v>4412.4470000000001</v>
      </c>
    </row>
    <row r="126" spans="1:4" x14ac:dyDescent="0.25">
      <c r="A126" t="s">
        <v>990</v>
      </c>
      <c r="B126" t="s">
        <v>989</v>
      </c>
      <c r="C126" s="69">
        <v>43936</v>
      </c>
      <c r="D126" s="28">
        <v>1600</v>
      </c>
    </row>
    <row r="127" spans="1:4" x14ac:dyDescent="0.25">
      <c r="A127" t="s">
        <v>1072</v>
      </c>
      <c r="B127" t="s">
        <v>1073</v>
      </c>
      <c r="C127" s="69">
        <v>43936</v>
      </c>
      <c r="D127" s="28">
        <v>4088.4639999999999</v>
      </c>
    </row>
    <row r="128" spans="1:4" x14ac:dyDescent="0.25">
      <c r="A128" t="s">
        <v>492</v>
      </c>
      <c r="B128" t="s">
        <v>493</v>
      </c>
      <c r="C128" s="69">
        <v>43937</v>
      </c>
      <c r="D128" s="28">
        <v>31500</v>
      </c>
    </row>
    <row r="129" spans="1:4" x14ac:dyDescent="0.25">
      <c r="A129" t="s">
        <v>1210</v>
      </c>
      <c r="B129" t="s">
        <v>1209</v>
      </c>
      <c r="C129" s="69">
        <v>43937</v>
      </c>
      <c r="D129" s="28">
        <v>1295.9159999999999</v>
      </c>
    </row>
    <row r="130" spans="1:4" x14ac:dyDescent="0.25">
      <c r="A130" t="s">
        <v>1241</v>
      </c>
      <c r="B130" t="s">
        <v>1240</v>
      </c>
      <c r="C130" s="69">
        <v>43941</v>
      </c>
      <c r="D130" s="28">
        <v>2909.326</v>
      </c>
    </row>
    <row r="131" spans="1:4" x14ac:dyDescent="0.25">
      <c r="A131" t="s">
        <v>1214</v>
      </c>
      <c r="B131" t="s">
        <v>1213</v>
      </c>
      <c r="C131" s="69">
        <v>43941</v>
      </c>
      <c r="D131" s="28">
        <v>2519.7779999999998</v>
      </c>
    </row>
    <row r="132" spans="1:4" x14ac:dyDescent="0.25">
      <c r="A132" t="s">
        <v>1210</v>
      </c>
      <c r="B132" t="s">
        <v>1209</v>
      </c>
      <c r="C132" s="69">
        <v>43941</v>
      </c>
      <c r="D132" s="28">
        <v>940</v>
      </c>
    </row>
    <row r="133" spans="1:4" x14ac:dyDescent="0.25">
      <c r="A133" t="s">
        <v>494</v>
      </c>
      <c r="B133" t="s">
        <v>495</v>
      </c>
      <c r="C133" s="69">
        <v>43946</v>
      </c>
      <c r="D133" s="28">
        <v>604.64400000000001</v>
      </c>
    </row>
    <row r="134" spans="1:4" x14ac:dyDescent="0.25">
      <c r="A134" t="s">
        <v>1067</v>
      </c>
      <c r="B134" t="s">
        <v>1066</v>
      </c>
      <c r="C134" s="69">
        <v>43946</v>
      </c>
      <c r="D134" s="28">
        <v>12463.593999999999</v>
      </c>
    </row>
    <row r="135" spans="1:4" x14ac:dyDescent="0.25">
      <c r="A135" t="s">
        <v>861</v>
      </c>
      <c r="B135" t="s">
        <v>860</v>
      </c>
      <c r="C135" s="69">
        <v>43946</v>
      </c>
      <c r="D135" s="28">
        <v>5380.6189999999997</v>
      </c>
    </row>
    <row r="136" spans="1:4" x14ac:dyDescent="0.25">
      <c r="A136" t="s">
        <v>1453</v>
      </c>
      <c r="B136" t="s">
        <v>1452</v>
      </c>
      <c r="C136" s="69">
        <v>43946</v>
      </c>
      <c r="D136" s="28">
        <v>1250</v>
      </c>
    </row>
    <row r="137" spans="1:4" x14ac:dyDescent="0.25">
      <c r="A137" t="s">
        <v>496</v>
      </c>
      <c r="B137" t="s">
        <v>497</v>
      </c>
      <c r="C137" s="69">
        <v>43946</v>
      </c>
      <c r="D137" s="28">
        <v>3000</v>
      </c>
    </row>
    <row r="138" spans="1:4" x14ac:dyDescent="0.25">
      <c r="A138" t="s">
        <v>492</v>
      </c>
      <c r="B138" t="s">
        <v>493</v>
      </c>
      <c r="C138" s="69">
        <v>43946</v>
      </c>
      <c r="D138" s="28">
        <v>31500</v>
      </c>
    </row>
    <row r="139" spans="1:4" x14ac:dyDescent="0.25">
      <c r="A139" t="s">
        <v>1457</v>
      </c>
      <c r="B139" t="s">
        <v>1456</v>
      </c>
      <c r="C139" s="69">
        <v>43946</v>
      </c>
      <c r="D139" s="28">
        <v>1463.2070000000001</v>
      </c>
    </row>
    <row r="140" spans="1:4" x14ac:dyDescent="0.25">
      <c r="A140" t="s">
        <v>990</v>
      </c>
      <c r="B140" t="s">
        <v>989</v>
      </c>
      <c r="C140" s="69">
        <v>43946</v>
      </c>
      <c r="D140" s="28">
        <v>1837.163</v>
      </c>
    </row>
    <row r="141" spans="1:4" x14ac:dyDescent="0.25">
      <c r="A141" t="s">
        <v>1210</v>
      </c>
      <c r="B141" t="s">
        <v>1209</v>
      </c>
      <c r="C141" s="69">
        <v>43946</v>
      </c>
      <c r="D141" s="28">
        <v>941</v>
      </c>
    </row>
    <row r="142" spans="1:4" x14ac:dyDescent="0.25">
      <c r="A142" t="s">
        <v>990</v>
      </c>
      <c r="B142" t="s">
        <v>989</v>
      </c>
      <c r="C142" s="69">
        <v>43946</v>
      </c>
      <c r="D142" s="28">
        <v>1600</v>
      </c>
    </row>
    <row r="143" spans="1:4" x14ac:dyDescent="0.25">
      <c r="A143" t="s">
        <v>1214</v>
      </c>
      <c r="B143" t="s">
        <v>1213</v>
      </c>
      <c r="C143" s="69">
        <v>43947</v>
      </c>
      <c r="D143" s="28">
        <v>2519.7779999999998</v>
      </c>
    </row>
    <row r="144" spans="1:4" x14ac:dyDescent="0.25">
      <c r="A144" t="s">
        <v>492</v>
      </c>
      <c r="B144" t="s">
        <v>493</v>
      </c>
      <c r="C144" s="69">
        <v>43951</v>
      </c>
      <c r="D144" s="28">
        <v>31545.7</v>
      </c>
    </row>
    <row r="145" spans="1:5" x14ac:dyDescent="0.25">
      <c r="A145" t="s">
        <v>992</v>
      </c>
      <c r="B145" t="s">
        <v>991</v>
      </c>
      <c r="C145" s="69">
        <v>43951</v>
      </c>
      <c r="D145" s="28">
        <v>5673.5010000000002</v>
      </c>
      <c r="E145" s="730"/>
    </row>
    <row r="146" spans="1:5" x14ac:dyDescent="0.25">
      <c r="A146" t="s">
        <v>1074</v>
      </c>
      <c r="B146" t="s">
        <v>1075</v>
      </c>
      <c r="C146" s="69">
        <v>43951</v>
      </c>
      <c r="D146" s="28">
        <v>5000</v>
      </c>
    </row>
    <row r="147" spans="1:5" x14ac:dyDescent="0.25">
      <c r="A147" t="s">
        <v>1220</v>
      </c>
      <c r="B147" t="s">
        <v>1219</v>
      </c>
      <c r="C147" s="69">
        <v>43951</v>
      </c>
      <c r="D147" s="28">
        <v>8256.4590000000007</v>
      </c>
    </row>
    <row r="148" spans="1:5" x14ac:dyDescent="0.25">
      <c r="A148" t="s">
        <v>1455</v>
      </c>
      <c r="B148" t="s">
        <v>1454</v>
      </c>
      <c r="C148" s="69">
        <v>43951</v>
      </c>
      <c r="D148" s="28">
        <v>334.697</v>
      </c>
    </row>
    <row r="149" spans="1:5" x14ac:dyDescent="0.25">
      <c r="A149" t="s">
        <v>1210</v>
      </c>
      <c r="B149" t="s">
        <v>1209</v>
      </c>
      <c r="C149" s="69">
        <v>43951</v>
      </c>
      <c r="D149" s="28">
        <v>942</v>
      </c>
    </row>
    <row r="150" spans="1:5" x14ac:dyDescent="0.25">
      <c r="A150" t="s">
        <v>1302</v>
      </c>
      <c r="B150" t="s">
        <v>1301</v>
      </c>
      <c r="C150" s="69">
        <v>43951</v>
      </c>
      <c r="D150" s="28">
        <v>6850.8459999999995</v>
      </c>
    </row>
    <row r="151" spans="1:5" x14ac:dyDescent="0.25">
      <c r="A151" t="s">
        <v>1453</v>
      </c>
      <c r="B151" t="s">
        <v>1452</v>
      </c>
      <c r="C151" s="69">
        <v>43956</v>
      </c>
      <c r="D151" s="28">
        <v>1354.6990000000001</v>
      </c>
    </row>
    <row r="152" spans="1:5" x14ac:dyDescent="0.25">
      <c r="A152" t="s">
        <v>1214</v>
      </c>
      <c r="B152" t="s">
        <v>1213</v>
      </c>
      <c r="C152" s="69">
        <v>43956</v>
      </c>
      <c r="D152" s="28">
        <v>2519.7779999999998</v>
      </c>
    </row>
    <row r="153" spans="1:5" x14ac:dyDescent="0.25">
      <c r="A153" t="s">
        <v>496</v>
      </c>
      <c r="B153" t="s">
        <v>497</v>
      </c>
      <c r="C153" s="69">
        <v>43956</v>
      </c>
      <c r="D153" s="28">
        <v>2671.3960000000002</v>
      </c>
    </row>
    <row r="154" spans="1:5" x14ac:dyDescent="0.25">
      <c r="A154" t="s">
        <v>1212</v>
      </c>
      <c r="B154" t="s">
        <v>1211</v>
      </c>
      <c r="C154" s="69">
        <v>43956</v>
      </c>
      <c r="D154" s="28">
        <v>21100.008000000002</v>
      </c>
    </row>
    <row r="155" spans="1:5" x14ac:dyDescent="0.25">
      <c r="A155" t="s">
        <v>1210</v>
      </c>
      <c r="B155" t="s">
        <v>1209</v>
      </c>
      <c r="C155" s="69">
        <v>43959</v>
      </c>
      <c r="D155" s="28">
        <v>943</v>
      </c>
    </row>
    <row r="156" spans="1:5" x14ac:dyDescent="0.25">
      <c r="A156" t="s">
        <v>990</v>
      </c>
      <c r="B156" t="s">
        <v>989</v>
      </c>
      <c r="C156" s="69">
        <v>43961</v>
      </c>
      <c r="D156" s="28">
        <v>1600</v>
      </c>
    </row>
    <row r="157" spans="1:5" x14ac:dyDescent="0.25">
      <c r="A157" t="s">
        <v>1210</v>
      </c>
      <c r="B157" t="s">
        <v>1209</v>
      </c>
      <c r="C157" s="69">
        <v>43963</v>
      </c>
      <c r="D157" s="28">
        <v>944</v>
      </c>
    </row>
    <row r="158" spans="1:5" x14ac:dyDescent="0.25">
      <c r="A158" t="s">
        <v>1453</v>
      </c>
      <c r="B158" t="s">
        <v>1452</v>
      </c>
      <c r="C158" s="69">
        <v>43966</v>
      </c>
      <c r="D158" s="28">
        <v>1354.6990000000001</v>
      </c>
    </row>
    <row r="159" spans="1:5" x14ac:dyDescent="0.25">
      <c r="A159" t="s">
        <v>990</v>
      </c>
      <c r="B159" t="s">
        <v>989</v>
      </c>
      <c r="C159" s="69">
        <v>43966</v>
      </c>
      <c r="D159" s="28">
        <v>1650.165</v>
      </c>
    </row>
    <row r="160" spans="1:5" x14ac:dyDescent="0.25">
      <c r="A160" t="s">
        <v>492</v>
      </c>
      <c r="B160" t="s">
        <v>493</v>
      </c>
      <c r="C160" s="69">
        <v>43967</v>
      </c>
      <c r="D160" s="28">
        <v>33598.548000000003</v>
      </c>
    </row>
    <row r="161" spans="1:5" x14ac:dyDescent="0.25">
      <c r="A161" t="s">
        <v>1210</v>
      </c>
      <c r="B161" t="s">
        <v>1209</v>
      </c>
      <c r="C161" s="69">
        <v>43967</v>
      </c>
      <c r="D161" s="28">
        <v>938.54300000000001</v>
      </c>
    </row>
    <row r="162" spans="1:5" x14ac:dyDescent="0.25">
      <c r="A162" t="s">
        <v>492</v>
      </c>
      <c r="B162" t="s">
        <v>493</v>
      </c>
      <c r="C162" s="69">
        <v>43972</v>
      </c>
      <c r="D162" s="28">
        <v>33598.548999999999</v>
      </c>
    </row>
    <row r="163" spans="1:5" x14ac:dyDescent="0.25">
      <c r="A163" t="s">
        <v>1067</v>
      </c>
      <c r="B163" t="s">
        <v>1066</v>
      </c>
      <c r="C163" s="69">
        <v>43976</v>
      </c>
      <c r="D163" s="28">
        <v>1439.5219999999999</v>
      </c>
    </row>
    <row r="164" spans="1:5" x14ac:dyDescent="0.25">
      <c r="A164" t="s">
        <v>1453</v>
      </c>
      <c r="B164" t="s">
        <v>1452</v>
      </c>
      <c r="C164" s="69">
        <v>43976</v>
      </c>
      <c r="D164" s="28">
        <v>1354.6990000000001</v>
      </c>
    </row>
    <row r="165" spans="1:5" x14ac:dyDescent="0.25">
      <c r="A165" t="s">
        <v>494</v>
      </c>
      <c r="B165" t="s">
        <v>495</v>
      </c>
      <c r="C165" s="69">
        <v>43976</v>
      </c>
      <c r="D165" s="28">
        <v>8793.4760000000006</v>
      </c>
    </row>
    <row r="166" spans="1:5" x14ac:dyDescent="0.25">
      <c r="A166" t="s">
        <v>1453</v>
      </c>
      <c r="B166" t="s">
        <v>1452</v>
      </c>
      <c r="C166" s="69">
        <v>43982</v>
      </c>
      <c r="D166" s="28">
        <v>1354.7</v>
      </c>
    </row>
    <row r="167" spans="1:5" x14ac:dyDescent="0.25">
      <c r="A167" t="s">
        <v>492</v>
      </c>
      <c r="B167" t="s">
        <v>493</v>
      </c>
      <c r="C167" s="69">
        <v>43982</v>
      </c>
      <c r="D167" s="28">
        <v>33598.548000000003</v>
      </c>
    </row>
    <row r="168" spans="1:5" x14ac:dyDescent="0.25">
      <c r="A168" t="s">
        <v>492</v>
      </c>
      <c r="B168" t="s">
        <v>493</v>
      </c>
      <c r="C168" s="69">
        <v>43998</v>
      </c>
      <c r="D168" s="28">
        <v>17462</v>
      </c>
      <c r="E168" s="730"/>
    </row>
    <row r="169" spans="1:5" ht="15.75" thickBot="1" x14ac:dyDescent="0.3">
      <c r="A169" t="s">
        <v>492</v>
      </c>
      <c r="B169" t="s">
        <v>493</v>
      </c>
      <c r="C169" s="69">
        <v>44007</v>
      </c>
      <c r="D169" s="28">
        <v>17462.339</v>
      </c>
      <c r="E169" s="396"/>
    </row>
    <row r="170" spans="1:5" ht="15.75" thickBot="1" x14ac:dyDescent="0.3">
      <c r="A170" s="1002" t="s">
        <v>539</v>
      </c>
      <c r="B170" s="1003"/>
      <c r="C170" s="1003"/>
      <c r="D170" s="732">
        <f>SUM(D4:D169)</f>
        <v>1002984.2280000002</v>
      </c>
      <c r="E170" s="737"/>
    </row>
    <row r="171" spans="1:5" ht="15.75" thickBot="1" x14ac:dyDescent="0.3">
      <c r="A171" s="396"/>
      <c r="B171" s="396"/>
      <c r="C171" s="396"/>
      <c r="D171" s="553"/>
    </row>
    <row r="172" spans="1:5" ht="15.75" thickBot="1" x14ac:dyDescent="0.3">
      <c r="A172" s="1004" t="s">
        <v>76</v>
      </c>
      <c r="B172" s="1005"/>
      <c r="C172" s="1005"/>
      <c r="D172" s="731">
        <f>+D170+D3</f>
        <v>1002984.2280000002</v>
      </c>
    </row>
  </sheetData>
  <mergeCells count="3">
    <mergeCell ref="A3:C3"/>
    <mergeCell ref="A170:C170"/>
    <mergeCell ref="A172:C17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76"/>
  <sheetViews>
    <sheetView zoomScale="85" zoomScaleNormal="85" workbookViewId="0">
      <selection activeCell="I23" activeCellId="3" sqref="B20:F20 I20:K20 B23:F23 I23:K23"/>
    </sheetView>
  </sheetViews>
  <sheetFormatPr baseColWidth="10" defaultRowHeight="15" x14ac:dyDescent="0.25"/>
  <cols>
    <col min="1" max="1" width="4.42578125" customWidth="1"/>
    <col min="2" max="2" width="30.42578125" bestFit="1" customWidth="1"/>
    <col min="3" max="3" width="11.42578125" bestFit="1" customWidth="1"/>
    <col min="4" max="4" width="14.42578125" style="69" bestFit="1" customWidth="1"/>
    <col min="5" max="5" width="16.5703125" style="69" bestFit="1" customWidth="1"/>
    <col min="6" max="6" width="10.28515625" style="28" bestFit="1" customWidth="1"/>
    <col min="7" max="7" width="2.140625" style="400" bestFit="1" customWidth="1"/>
    <col min="8" max="8" width="2.140625" bestFit="1" customWidth="1"/>
    <col min="9" max="9" width="10.28515625" style="28" bestFit="1" customWidth="1"/>
    <col min="10" max="10" width="15.28515625" style="69" bestFit="1" customWidth="1"/>
    <col min="11" max="11" width="12.5703125" bestFit="1" customWidth="1"/>
    <col min="12" max="12" width="14.140625" bestFit="1" customWidth="1"/>
  </cols>
  <sheetData>
    <row r="1" spans="1:12" s="395" customFormat="1" ht="12.75" x14ac:dyDescent="0.2">
      <c r="A1" s="390" t="s">
        <v>513</v>
      </c>
      <c r="B1" s="390" t="s">
        <v>514</v>
      </c>
      <c r="C1" s="391" t="s">
        <v>515</v>
      </c>
      <c r="D1" s="392" t="s">
        <v>516</v>
      </c>
      <c r="E1" s="392" t="s">
        <v>517</v>
      </c>
      <c r="F1" s="397" t="s">
        <v>518</v>
      </c>
      <c r="G1" s="1006" t="s">
        <v>519</v>
      </c>
      <c r="H1" s="1006"/>
      <c r="I1" s="393" t="s">
        <v>520</v>
      </c>
      <c r="J1" s="392" t="s">
        <v>10</v>
      </c>
      <c r="K1" s="394" t="s">
        <v>521</v>
      </c>
      <c r="L1" s="394" t="s">
        <v>522</v>
      </c>
    </row>
    <row r="2" spans="1:12" x14ac:dyDescent="0.25">
      <c r="A2" t="s">
        <v>523</v>
      </c>
      <c r="B2" t="s">
        <v>530</v>
      </c>
      <c r="C2" s="389" t="s">
        <v>531</v>
      </c>
      <c r="D2" s="69">
        <v>42850</v>
      </c>
      <c r="F2" s="28">
        <f t="shared" ref="F2:F33" si="0">SUM(I2*G2)</f>
        <v>684</v>
      </c>
      <c r="G2" s="398">
        <v>1</v>
      </c>
      <c r="H2" s="399">
        <f t="shared" ref="H2:H33" si="1">IF(E2="",1,0)</f>
        <v>1</v>
      </c>
      <c r="I2" s="28">
        <v>684</v>
      </c>
      <c r="J2" s="69">
        <f t="shared" ref="J2:J11" si="2">+D2</f>
        <v>42850</v>
      </c>
      <c r="K2" s="389" t="s">
        <v>532</v>
      </c>
      <c r="L2" s="396" t="s">
        <v>578</v>
      </c>
    </row>
    <row r="3" spans="1:12" x14ac:dyDescent="0.25">
      <c r="A3" t="s">
        <v>523</v>
      </c>
      <c r="B3" t="s">
        <v>530</v>
      </c>
      <c r="C3" s="389" t="s">
        <v>533</v>
      </c>
      <c r="D3" s="69">
        <v>42921</v>
      </c>
      <c r="F3" s="28">
        <f t="shared" si="0"/>
        <v>684</v>
      </c>
      <c r="G3" s="398">
        <v>1</v>
      </c>
      <c r="H3" s="399">
        <f t="shared" si="1"/>
        <v>1</v>
      </c>
      <c r="I3" s="28">
        <v>684</v>
      </c>
      <c r="J3" s="69">
        <f t="shared" si="2"/>
        <v>42921</v>
      </c>
      <c r="K3" s="389" t="s">
        <v>534</v>
      </c>
      <c r="L3" s="396" t="s">
        <v>578</v>
      </c>
    </row>
    <row r="4" spans="1:12" x14ac:dyDescent="0.25">
      <c r="A4" t="s">
        <v>523</v>
      </c>
      <c r="B4" t="s">
        <v>535</v>
      </c>
      <c r="C4" s="389" t="s">
        <v>536</v>
      </c>
      <c r="D4" s="69">
        <v>43033</v>
      </c>
      <c r="F4" s="28">
        <f t="shared" si="0"/>
        <v>212.9</v>
      </c>
      <c r="G4" s="398">
        <v>1</v>
      </c>
      <c r="H4" s="399">
        <f t="shared" si="1"/>
        <v>1</v>
      </c>
      <c r="I4" s="28">
        <v>212.9</v>
      </c>
      <c r="J4" s="69">
        <f t="shared" si="2"/>
        <v>43033</v>
      </c>
      <c r="K4" s="389" t="s">
        <v>537</v>
      </c>
      <c r="L4" s="396" t="s">
        <v>578</v>
      </c>
    </row>
    <row r="5" spans="1:12" x14ac:dyDescent="0.25">
      <c r="A5" t="s">
        <v>523</v>
      </c>
      <c r="B5" t="s">
        <v>623</v>
      </c>
      <c r="C5" s="389" t="s">
        <v>621</v>
      </c>
      <c r="D5" s="69">
        <v>43458</v>
      </c>
      <c r="F5" s="28">
        <f t="shared" si="0"/>
        <v>174.34</v>
      </c>
      <c r="G5" s="398">
        <v>1</v>
      </c>
      <c r="H5" s="399">
        <f t="shared" si="1"/>
        <v>1</v>
      </c>
      <c r="I5" s="28">
        <v>174.34</v>
      </c>
      <c r="J5" s="69">
        <f t="shared" si="2"/>
        <v>43458</v>
      </c>
      <c r="K5" s="389" t="s">
        <v>622</v>
      </c>
      <c r="L5" s="396" t="s">
        <v>578</v>
      </c>
    </row>
    <row r="6" spans="1:12" x14ac:dyDescent="0.25">
      <c r="A6" t="s">
        <v>523</v>
      </c>
      <c r="B6" t="s">
        <v>1323</v>
      </c>
      <c r="C6" s="389" t="s">
        <v>1256</v>
      </c>
      <c r="D6" s="69">
        <v>43810</v>
      </c>
      <c r="F6" s="28">
        <f t="shared" si="0"/>
        <v>150</v>
      </c>
      <c r="G6" s="398">
        <v>1</v>
      </c>
      <c r="H6" s="399">
        <f t="shared" si="1"/>
        <v>1</v>
      </c>
      <c r="I6" s="28">
        <v>150</v>
      </c>
      <c r="J6" s="69">
        <f t="shared" si="2"/>
        <v>43810</v>
      </c>
      <c r="K6" s="389" t="s">
        <v>1262</v>
      </c>
      <c r="L6" s="396" t="s">
        <v>578</v>
      </c>
    </row>
    <row r="7" spans="1:12" x14ac:dyDescent="0.25">
      <c r="A7" t="s">
        <v>523</v>
      </c>
      <c r="B7" t="s">
        <v>527</v>
      </c>
      <c r="C7" s="389" t="s">
        <v>1255</v>
      </c>
      <c r="D7" s="69">
        <v>43810</v>
      </c>
      <c r="F7" s="28">
        <f t="shared" si="0"/>
        <v>485.51499999999999</v>
      </c>
      <c r="G7" s="398">
        <v>1</v>
      </c>
      <c r="H7" s="399">
        <f t="shared" si="1"/>
        <v>1</v>
      </c>
      <c r="I7" s="28">
        <v>485.51499999999999</v>
      </c>
      <c r="J7" s="69">
        <f t="shared" si="2"/>
        <v>43810</v>
      </c>
      <c r="K7" s="389" t="s">
        <v>1261</v>
      </c>
      <c r="L7" s="396" t="s">
        <v>578</v>
      </c>
    </row>
    <row r="8" spans="1:12" x14ac:dyDescent="0.25">
      <c r="A8" t="s">
        <v>523</v>
      </c>
      <c r="B8" t="s">
        <v>1335</v>
      </c>
      <c r="C8" s="389" t="s">
        <v>1330</v>
      </c>
      <c r="D8" s="69">
        <v>43818</v>
      </c>
      <c r="F8" s="28">
        <f t="shared" si="0"/>
        <v>49.509</v>
      </c>
      <c r="G8" s="398">
        <v>1</v>
      </c>
      <c r="H8" s="399">
        <f t="shared" si="1"/>
        <v>1</v>
      </c>
      <c r="I8" s="28">
        <v>49.509</v>
      </c>
      <c r="J8" s="69">
        <f t="shared" si="2"/>
        <v>43818</v>
      </c>
      <c r="K8" s="389" t="s">
        <v>1333</v>
      </c>
      <c r="L8" t="s">
        <v>578</v>
      </c>
    </row>
    <row r="9" spans="1:12" x14ac:dyDescent="0.25">
      <c r="A9" t="s">
        <v>523</v>
      </c>
      <c r="B9" t="s">
        <v>1327</v>
      </c>
      <c r="C9" s="389" t="s">
        <v>1329</v>
      </c>
      <c r="D9" s="69">
        <v>43818</v>
      </c>
      <c r="F9" s="28">
        <f t="shared" si="0"/>
        <v>1193.8399999999999</v>
      </c>
      <c r="G9" s="398">
        <v>1</v>
      </c>
      <c r="H9" s="399">
        <f t="shared" si="1"/>
        <v>1</v>
      </c>
      <c r="I9" s="28">
        <v>1193.8399999999999</v>
      </c>
      <c r="J9" s="69">
        <f t="shared" si="2"/>
        <v>43818</v>
      </c>
      <c r="K9" s="389" t="s">
        <v>1332</v>
      </c>
      <c r="L9" t="s">
        <v>578</v>
      </c>
    </row>
    <row r="10" spans="1:12" x14ac:dyDescent="0.25">
      <c r="A10" t="s">
        <v>523</v>
      </c>
      <c r="B10" t="s">
        <v>1549</v>
      </c>
      <c r="C10" s="389" t="s">
        <v>1534</v>
      </c>
      <c r="D10" s="69">
        <v>43824</v>
      </c>
      <c r="F10" s="28">
        <f t="shared" si="0"/>
        <v>326.66000000000003</v>
      </c>
      <c r="G10" s="398">
        <v>1</v>
      </c>
      <c r="H10" s="399">
        <f t="shared" si="1"/>
        <v>1</v>
      </c>
      <c r="I10" s="28">
        <v>326.66000000000003</v>
      </c>
      <c r="J10" s="69">
        <f t="shared" si="2"/>
        <v>43824</v>
      </c>
      <c r="K10" s="389" t="s">
        <v>1545</v>
      </c>
      <c r="L10" t="s">
        <v>578</v>
      </c>
    </row>
    <row r="11" spans="1:12" x14ac:dyDescent="0.25">
      <c r="A11" t="s">
        <v>523</v>
      </c>
      <c r="B11" t="s">
        <v>745</v>
      </c>
      <c r="C11" s="389" t="s">
        <v>1531</v>
      </c>
      <c r="D11" s="69">
        <v>43825</v>
      </c>
      <c r="F11" s="28">
        <f t="shared" si="0"/>
        <v>738.4</v>
      </c>
      <c r="G11" s="398">
        <v>1</v>
      </c>
      <c r="H11" s="399">
        <f t="shared" si="1"/>
        <v>1</v>
      </c>
      <c r="I11" s="28">
        <v>738.4</v>
      </c>
      <c r="J11" s="69">
        <f t="shared" si="2"/>
        <v>43825</v>
      </c>
      <c r="K11" s="389" t="s">
        <v>1542</v>
      </c>
      <c r="L11" t="s">
        <v>578</v>
      </c>
    </row>
    <row r="12" spans="1:12" x14ac:dyDescent="0.25">
      <c r="A12" t="s">
        <v>524</v>
      </c>
      <c r="B12" t="s">
        <v>700</v>
      </c>
      <c r="C12" s="389" t="s">
        <v>1529</v>
      </c>
      <c r="D12" s="69">
        <v>43825</v>
      </c>
      <c r="F12" s="28">
        <f t="shared" si="0"/>
        <v>1843.64</v>
      </c>
      <c r="G12" s="398">
        <v>1</v>
      </c>
      <c r="H12" s="399">
        <f t="shared" si="1"/>
        <v>1</v>
      </c>
      <c r="I12" s="28">
        <v>1843.64</v>
      </c>
      <c r="J12" s="69">
        <v>43855</v>
      </c>
      <c r="K12" s="389" t="s">
        <v>1540</v>
      </c>
      <c r="L12" t="s">
        <v>578</v>
      </c>
    </row>
    <row r="13" spans="1:12" x14ac:dyDescent="0.25">
      <c r="A13" t="s">
        <v>524</v>
      </c>
      <c r="B13" t="s">
        <v>526</v>
      </c>
      <c r="C13" s="389" t="s">
        <v>1528</v>
      </c>
      <c r="D13" s="69">
        <v>43825</v>
      </c>
      <c r="F13" s="28">
        <f t="shared" si="0"/>
        <v>1061.973</v>
      </c>
      <c r="G13" s="398">
        <v>1</v>
      </c>
      <c r="H13" s="399">
        <f t="shared" si="1"/>
        <v>1</v>
      </c>
      <c r="I13" s="28">
        <v>1061.973</v>
      </c>
      <c r="J13" s="69">
        <v>43915</v>
      </c>
      <c r="K13" s="389" t="s">
        <v>1539</v>
      </c>
      <c r="L13" t="s">
        <v>578</v>
      </c>
    </row>
    <row r="14" spans="1:12" x14ac:dyDescent="0.25">
      <c r="A14" t="s">
        <v>523</v>
      </c>
      <c r="B14" t="s">
        <v>1233</v>
      </c>
      <c r="C14" s="389" t="s">
        <v>1234</v>
      </c>
      <c r="D14" s="69">
        <v>43805</v>
      </c>
      <c r="E14" s="69">
        <v>43824</v>
      </c>
      <c r="F14" s="28">
        <f t="shared" si="0"/>
        <v>273.60000000000002</v>
      </c>
      <c r="G14" s="398">
        <v>1</v>
      </c>
      <c r="H14" s="399">
        <f t="shared" si="1"/>
        <v>0</v>
      </c>
      <c r="I14" s="28">
        <v>273.60000000000002</v>
      </c>
      <c r="J14" s="69">
        <f t="shared" ref="J14:J23" si="3">+D14</f>
        <v>43805</v>
      </c>
      <c r="K14" s="389" t="s">
        <v>1236</v>
      </c>
      <c r="L14" s="396"/>
    </row>
    <row r="15" spans="1:12" x14ac:dyDescent="0.25">
      <c r="A15" t="s">
        <v>523</v>
      </c>
      <c r="B15" t="s">
        <v>525</v>
      </c>
      <c r="C15" s="389" t="s">
        <v>1253</v>
      </c>
      <c r="D15" s="69">
        <v>43811</v>
      </c>
      <c r="E15" s="69">
        <v>43826</v>
      </c>
      <c r="F15" s="28">
        <f t="shared" si="0"/>
        <v>12002.939</v>
      </c>
      <c r="G15" s="398">
        <v>1</v>
      </c>
      <c r="H15" s="399">
        <f t="shared" si="1"/>
        <v>0</v>
      </c>
      <c r="I15" s="28">
        <v>12002.939</v>
      </c>
      <c r="J15" s="69">
        <f t="shared" si="3"/>
        <v>43811</v>
      </c>
      <c r="K15" s="389" t="s">
        <v>1259</v>
      </c>
    </row>
    <row r="16" spans="1:12" x14ac:dyDescent="0.25">
      <c r="A16" t="s">
        <v>523</v>
      </c>
      <c r="B16" t="s">
        <v>1328</v>
      </c>
      <c r="C16" s="389" t="s">
        <v>1331</v>
      </c>
      <c r="D16" s="69">
        <v>43817</v>
      </c>
      <c r="E16" s="69">
        <v>43824</v>
      </c>
      <c r="F16" s="28">
        <f t="shared" si="0"/>
        <v>14589.796</v>
      </c>
      <c r="G16" s="398">
        <v>1</v>
      </c>
      <c r="H16" s="399">
        <f t="shared" si="1"/>
        <v>0</v>
      </c>
      <c r="I16" s="28">
        <v>14589.796</v>
      </c>
      <c r="J16" s="69">
        <f t="shared" si="3"/>
        <v>43817</v>
      </c>
      <c r="K16" s="389" t="s">
        <v>1334</v>
      </c>
    </row>
    <row r="17" spans="1:12" x14ac:dyDescent="0.25">
      <c r="A17" t="s">
        <v>523</v>
      </c>
      <c r="B17" t="s">
        <v>737</v>
      </c>
      <c r="C17" s="389" t="s">
        <v>1533</v>
      </c>
      <c r="D17" s="69">
        <v>43824</v>
      </c>
      <c r="E17" s="69">
        <v>43825</v>
      </c>
      <c r="F17" s="28">
        <f t="shared" si="0"/>
        <v>49250</v>
      </c>
      <c r="G17" s="398">
        <v>1</v>
      </c>
      <c r="H17" s="399">
        <f t="shared" si="1"/>
        <v>0</v>
      </c>
      <c r="I17" s="28">
        <v>49250</v>
      </c>
      <c r="J17" s="69">
        <f t="shared" si="3"/>
        <v>43824</v>
      </c>
      <c r="K17" s="389" t="s">
        <v>1544</v>
      </c>
    </row>
    <row r="18" spans="1:12" x14ac:dyDescent="0.25">
      <c r="A18" t="s">
        <v>523</v>
      </c>
      <c r="B18" t="s">
        <v>642</v>
      </c>
      <c r="C18" s="389" t="s">
        <v>1532</v>
      </c>
      <c r="D18" s="69">
        <v>43825</v>
      </c>
      <c r="E18" s="69">
        <v>43826</v>
      </c>
      <c r="F18" s="28">
        <f t="shared" si="0"/>
        <v>2026.6579999999999</v>
      </c>
      <c r="G18" s="398">
        <v>1</v>
      </c>
      <c r="H18" s="399">
        <f t="shared" si="1"/>
        <v>0</v>
      </c>
      <c r="I18" s="28">
        <v>2026.6579999999999</v>
      </c>
      <c r="J18" s="69">
        <f t="shared" si="3"/>
        <v>43825</v>
      </c>
      <c r="K18" s="389" t="s">
        <v>1543</v>
      </c>
    </row>
    <row r="19" spans="1:12" x14ac:dyDescent="0.25">
      <c r="A19" t="s">
        <v>523</v>
      </c>
      <c r="B19" t="s">
        <v>1548</v>
      </c>
      <c r="C19" s="389" t="s">
        <v>1530</v>
      </c>
      <c r="D19" s="69">
        <v>43825</v>
      </c>
      <c r="E19" s="69">
        <v>43826</v>
      </c>
      <c r="F19" s="28">
        <f t="shared" si="0"/>
        <v>11951.627</v>
      </c>
      <c r="G19" s="398">
        <v>1</v>
      </c>
      <c r="H19" s="399">
        <f t="shared" si="1"/>
        <v>0</v>
      </c>
      <c r="I19" s="28">
        <v>11951.627</v>
      </c>
      <c r="J19" s="69">
        <f t="shared" si="3"/>
        <v>43825</v>
      </c>
      <c r="K19" s="389" t="s">
        <v>1541</v>
      </c>
    </row>
    <row r="20" spans="1:12" x14ac:dyDescent="0.25">
      <c r="A20" t="s">
        <v>523</v>
      </c>
      <c r="B20" s="813" t="s">
        <v>1547</v>
      </c>
      <c r="C20" s="814" t="s">
        <v>1527</v>
      </c>
      <c r="D20" s="815">
        <v>43826</v>
      </c>
      <c r="E20" s="815">
        <v>43826</v>
      </c>
      <c r="F20" s="816">
        <f t="shared" si="0"/>
        <v>91083.679000000004</v>
      </c>
      <c r="G20" s="398">
        <v>1</v>
      </c>
      <c r="H20" s="399">
        <f t="shared" si="1"/>
        <v>0</v>
      </c>
      <c r="I20" s="816">
        <v>91083.679000000004</v>
      </c>
      <c r="J20" s="815">
        <f t="shared" si="3"/>
        <v>43826</v>
      </c>
      <c r="K20" s="814" t="s">
        <v>1538</v>
      </c>
    </row>
    <row r="21" spans="1:12" x14ac:dyDescent="0.25">
      <c r="A21" t="s">
        <v>523</v>
      </c>
      <c r="B21" t="s">
        <v>1546</v>
      </c>
      <c r="C21" s="389" t="s">
        <v>1526</v>
      </c>
      <c r="D21" s="69">
        <v>43826</v>
      </c>
      <c r="E21" s="69">
        <v>43826</v>
      </c>
      <c r="F21" s="28">
        <f t="shared" si="0"/>
        <v>1122.097</v>
      </c>
      <c r="G21" s="398">
        <v>1</v>
      </c>
      <c r="H21" s="399">
        <f t="shared" si="1"/>
        <v>0</v>
      </c>
      <c r="I21" s="28">
        <v>1122.097</v>
      </c>
      <c r="J21" s="69">
        <f t="shared" si="3"/>
        <v>43826</v>
      </c>
      <c r="K21" s="389" t="s">
        <v>1537</v>
      </c>
    </row>
    <row r="22" spans="1:12" x14ac:dyDescent="0.25">
      <c r="A22" t="s">
        <v>523</v>
      </c>
      <c r="B22" t="s">
        <v>1546</v>
      </c>
      <c r="C22" s="389" t="s">
        <v>1525</v>
      </c>
      <c r="D22" s="69">
        <v>43826</v>
      </c>
      <c r="E22" s="69">
        <v>43826</v>
      </c>
      <c r="F22" s="28">
        <f t="shared" si="0"/>
        <v>934.20399999999995</v>
      </c>
      <c r="G22" s="398">
        <v>1</v>
      </c>
      <c r="H22" s="399">
        <f t="shared" si="1"/>
        <v>0</v>
      </c>
      <c r="I22" s="28">
        <v>934.20399999999995</v>
      </c>
      <c r="J22" s="69">
        <f t="shared" si="3"/>
        <v>43826</v>
      </c>
      <c r="K22" s="389" t="s">
        <v>1536</v>
      </c>
    </row>
    <row r="23" spans="1:12" x14ac:dyDescent="0.25">
      <c r="A23" t="s">
        <v>523</v>
      </c>
      <c r="B23" s="813" t="s">
        <v>1133</v>
      </c>
      <c r="C23" s="814" t="s">
        <v>1524</v>
      </c>
      <c r="D23" s="815">
        <v>43826</v>
      </c>
      <c r="E23" s="815">
        <v>43826</v>
      </c>
      <c r="F23" s="816">
        <f t="shared" si="0"/>
        <v>60682.353999999999</v>
      </c>
      <c r="G23" s="398">
        <v>1</v>
      </c>
      <c r="H23" s="399">
        <f t="shared" si="1"/>
        <v>0</v>
      </c>
      <c r="I23" s="816">
        <v>60682.353999999999</v>
      </c>
      <c r="J23" s="815">
        <f t="shared" si="3"/>
        <v>43826</v>
      </c>
      <c r="K23" s="814" t="s">
        <v>1535</v>
      </c>
    </row>
    <row r="24" spans="1:12" x14ac:dyDescent="0.25">
      <c r="A24" t="s">
        <v>524</v>
      </c>
      <c r="B24" t="s">
        <v>1016</v>
      </c>
      <c r="C24" s="389" t="s">
        <v>1011</v>
      </c>
      <c r="D24" s="69">
        <v>43767</v>
      </c>
      <c r="E24" s="69">
        <v>43769</v>
      </c>
      <c r="F24" s="28">
        <f t="shared" si="0"/>
        <v>14775</v>
      </c>
      <c r="G24" s="398">
        <v>1</v>
      </c>
      <c r="H24" s="399">
        <f t="shared" si="1"/>
        <v>0</v>
      </c>
      <c r="I24" s="28">
        <v>14775</v>
      </c>
      <c r="J24" s="69">
        <v>43829</v>
      </c>
      <c r="K24" s="389" t="s">
        <v>1015</v>
      </c>
    </row>
    <row r="25" spans="1:12" x14ac:dyDescent="0.25">
      <c r="A25" t="s">
        <v>524</v>
      </c>
      <c r="B25" t="s">
        <v>529</v>
      </c>
      <c r="C25" s="389" t="s">
        <v>1257</v>
      </c>
      <c r="D25" s="69">
        <v>43808</v>
      </c>
      <c r="E25" s="69">
        <v>43817</v>
      </c>
      <c r="F25" s="28">
        <f t="shared" si="0"/>
        <v>529.43600000000004</v>
      </c>
      <c r="G25" s="398">
        <v>1</v>
      </c>
      <c r="H25" s="399">
        <f t="shared" si="1"/>
        <v>0</v>
      </c>
      <c r="I25" s="28">
        <v>529.43600000000004</v>
      </c>
      <c r="J25" s="69">
        <v>43840</v>
      </c>
      <c r="K25" s="389" t="s">
        <v>1263</v>
      </c>
    </row>
    <row r="26" spans="1:12" x14ac:dyDescent="0.25">
      <c r="A26" t="s">
        <v>524</v>
      </c>
      <c r="B26" t="s">
        <v>528</v>
      </c>
      <c r="C26" s="389" t="s">
        <v>1252</v>
      </c>
      <c r="D26" s="69">
        <v>43811</v>
      </c>
      <c r="E26" s="69">
        <v>43812</v>
      </c>
      <c r="F26" s="28">
        <f t="shared" si="0"/>
        <v>1266.5129999999999</v>
      </c>
      <c r="G26" s="398">
        <v>1</v>
      </c>
      <c r="H26" s="399">
        <f t="shared" si="1"/>
        <v>0</v>
      </c>
      <c r="I26" s="28">
        <v>1266.5129999999999</v>
      </c>
      <c r="J26" s="69">
        <v>43840</v>
      </c>
      <c r="K26" s="389" t="s">
        <v>1258</v>
      </c>
    </row>
    <row r="27" spans="1:12" x14ac:dyDescent="0.25">
      <c r="A27" t="s">
        <v>524</v>
      </c>
      <c r="B27" t="s">
        <v>1154</v>
      </c>
      <c r="C27" s="389" t="s">
        <v>1149</v>
      </c>
      <c r="D27" s="69">
        <v>43794</v>
      </c>
      <c r="E27" s="69">
        <v>43812</v>
      </c>
      <c r="F27" s="28">
        <f t="shared" si="0"/>
        <v>1266.5129999999999</v>
      </c>
      <c r="G27" s="398">
        <v>1</v>
      </c>
      <c r="H27" s="399">
        <f t="shared" si="1"/>
        <v>0</v>
      </c>
      <c r="I27" s="28">
        <v>1266.5129999999999</v>
      </c>
      <c r="J27" s="69">
        <v>43850</v>
      </c>
      <c r="K27" s="389" t="s">
        <v>1152</v>
      </c>
    </row>
    <row r="28" spans="1:12" x14ac:dyDescent="0.25">
      <c r="A28" t="s">
        <v>524</v>
      </c>
      <c r="B28" t="s">
        <v>610</v>
      </c>
      <c r="C28" s="389" t="s">
        <v>1254</v>
      </c>
      <c r="D28" s="69">
        <v>43811</v>
      </c>
      <c r="E28" s="69">
        <v>43817</v>
      </c>
      <c r="F28" s="28">
        <f t="shared" si="0"/>
        <v>423.24799999999999</v>
      </c>
      <c r="G28" s="398">
        <v>1</v>
      </c>
      <c r="H28" s="399">
        <f t="shared" si="1"/>
        <v>0</v>
      </c>
      <c r="I28" s="28">
        <v>423.24799999999999</v>
      </c>
      <c r="J28" s="69">
        <v>43855</v>
      </c>
      <c r="K28" s="389" t="s">
        <v>1260</v>
      </c>
    </row>
    <row r="29" spans="1:12" x14ac:dyDescent="0.25">
      <c r="A29" t="s">
        <v>524</v>
      </c>
      <c r="B29" t="s">
        <v>1238</v>
      </c>
      <c r="C29" s="389" t="s">
        <v>1235</v>
      </c>
      <c r="D29" s="69">
        <v>43803</v>
      </c>
      <c r="E29" s="69">
        <v>43817</v>
      </c>
      <c r="F29" s="28">
        <f t="shared" si="0"/>
        <v>1758.816</v>
      </c>
      <c r="G29" s="398">
        <v>1</v>
      </c>
      <c r="H29" s="399">
        <f t="shared" si="1"/>
        <v>0</v>
      </c>
      <c r="I29" s="28">
        <v>1758.816</v>
      </c>
      <c r="J29" s="69">
        <v>43855</v>
      </c>
      <c r="K29" s="389" t="s">
        <v>1237</v>
      </c>
    </row>
    <row r="30" spans="1:12" x14ac:dyDescent="0.25">
      <c r="A30" t="s">
        <v>524</v>
      </c>
      <c r="B30" t="s">
        <v>526</v>
      </c>
      <c r="C30" s="389" t="s">
        <v>1092</v>
      </c>
      <c r="D30" s="69">
        <v>43776</v>
      </c>
      <c r="E30" s="69">
        <v>43827</v>
      </c>
      <c r="F30" s="28">
        <f t="shared" si="0"/>
        <v>655.1</v>
      </c>
      <c r="G30" s="398">
        <v>1</v>
      </c>
      <c r="H30" s="399">
        <f t="shared" si="1"/>
        <v>0</v>
      </c>
      <c r="I30" s="28">
        <v>655.1</v>
      </c>
      <c r="J30" s="69">
        <v>43855</v>
      </c>
      <c r="K30" s="389" t="s">
        <v>1093</v>
      </c>
      <c r="L30" s="396"/>
    </row>
    <row r="31" spans="1:12" x14ac:dyDescent="0.25">
      <c r="A31" t="s">
        <v>524</v>
      </c>
      <c r="B31" t="s">
        <v>737</v>
      </c>
      <c r="C31" s="389" t="s">
        <v>962</v>
      </c>
      <c r="D31" s="69">
        <v>43740</v>
      </c>
      <c r="E31" s="69">
        <v>43745</v>
      </c>
      <c r="F31" s="28">
        <f t="shared" si="0"/>
        <v>19700</v>
      </c>
      <c r="G31" s="398">
        <v>1</v>
      </c>
      <c r="H31" s="399">
        <f t="shared" si="1"/>
        <v>0</v>
      </c>
      <c r="I31" s="28">
        <v>19700</v>
      </c>
      <c r="J31" s="69">
        <v>43855</v>
      </c>
      <c r="K31" s="389" t="s">
        <v>963</v>
      </c>
    </row>
    <row r="32" spans="1:12" x14ac:dyDescent="0.25">
      <c r="A32" t="s">
        <v>524</v>
      </c>
      <c r="B32" t="s">
        <v>1016</v>
      </c>
      <c r="C32" s="389" t="s">
        <v>1010</v>
      </c>
      <c r="D32" s="69">
        <v>43767</v>
      </c>
      <c r="E32" s="69">
        <v>43769</v>
      </c>
      <c r="F32" s="28">
        <f t="shared" si="0"/>
        <v>14775</v>
      </c>
      <c r="G32" s="398">
        <v>1</v>
      </c>
      <c r="H32" s="399">
        <f t="shared" si="1"/>
        <v>0</v>
      </c>
      <c r="I32" s="28">
        <v>14775</v>
      </c>
      <c r="J32" s="69">
        <v>43860</v>
      </c>
      <c r="K32" s="389" t="s">
        <v>1014</v>
      </c>
    </row>
    <row r="33" spans="1:11" x14ac:dyDescent="0.25">
      <c r="A33" t="s">
        <v>524</v>
      </c>
      <c r="B33" t="s">
        <v>526</v>
      </c>
      <c r="C33" s="389" t="s">
        <v>1150</v>
      </c>
      <c r="D33" s="69">
        <v>43794</v>
      </c>
      <c r="E33" s="69">
        <v>43827</v>
      </c>
      <c r="F33" s="28">
        <f t="shared" si="0"/>
        <v>1758.816</v>
      </c>
      <c r="G33" s="398">
        <v>1</v>
      </c>
      <c r="H33" s="399">
        <f t="shared" si="1"/>
        <v>0</v>
      </c>
      <c r="I33" s="28">
        <v>1758.816</v>
      </c>
      <c r="J33" s="69">
        <v>43881</v>
      </c>
      <c r="K33" s="389" t="s">
        <v>1153</v>
      </c>
    </row>
    <row r="34" spans="1:11" x14ac:dyDescent="0.25">
      <c r="A34" t="s">
        <v>524</v>
      </c>
      <c r="B34" t="s">
        <v>1016</v>
      </c>
      <c r="C34" s="389" t="s">
        <v>1009</v>
      </c>
      <c r="D34" s="69">
        <v>43767</v>
      </c>
      <c r="E34" s="69">
        <v>43769</v>
      </c>
      <c r="F34" s="28">
        <f t="shared" ref="F34:F65" si="4">SUM(I34*G34)</f>
        <v>14775</v>
      </c>
      <c r="G34" s="398">
        <v>1</v>
      </c>
      <c r="H34" s="399">
        <f t="shared" ref="H34:H65" si="5">IF(E34="",1,0)</f>
        <v>0</v>
      </c>
      <c r="I34" s="28">
        <v>14775</v>
      </c>
      <c r="J34" s="69">
        <v>43890</v>
      </c>
      <c r="K34" s="389" t="s">
        <v>1013</v>
      </c>
    </row>
    <row r="35" spans="1:11" x14ac:dyDescent="0.25">
      <c r="A35" t="s">
        <v>524</v>
      </c>
      <c r="B35" t="s">
        <v>1016</v>
      </c>
      <c r="C35" s="389" t="s">
        <v>1008</v>
      </c>
      <c r="D35" s="69">
        <v>43767</v>
      </c>
      <c r="E35" s="69">
        <v>43769</v>
      </c>
      <c r="F35" s="28">
        <f t="shared" si="4"/>
        <v>14775</v>
      </c>
      <c r="G35" s="398">
        <v>1</v>
      </c>
      <c r="H35" s="399">
        <f t="shared" si="5"/>
        <v>0</v>
      </c>
      <c r="I35" s="28">
        <v>14775</v>
      </c>
      <c r="J35" s="69">
        <v>43920</v>
      </c>
      <c r="K35" s="389" t="s">
        <v>1012</v>
      </c>
    </row>
    <row r="36" spans="1:11" x14ac:dyDescent="0.25">
      <c r="F36" s="28">
        <f t="shared" si="4"/>
        <v>0</v>
      </c>
      <c r="G36" s="398">
        <v>1</v>
      </c>
      <c r="H36" s="399">
        <f t="shared" si="5"/>
        <v>1</v>
      </c>
    </row>
    <row r="37" spans="1:11" x14ac:dyDescent="0.25">
      <c r="F37" s="28">
        <f t="shared" si="4"/>
        <v>0</v>
      </c>
      <c r="G37" s="398">
        <v>1</v>
      </c>
      <c r="H37" s="399">
        <f t="shared" si="5"/>
        <v>1</v>
      </c>
    </row>
    <row r="38" spans="1:11" x14ac:dyDescent="0.25">
      <c r="F38" s="28">
        <f t="shared" si="4"/>
        <v>0</v>
      </c>
      <c r="G38" s="398">
        <v>1</v>
      </c>
      <c r="H38" s="399">
        <f t="shared" si="5"/>
        <v>1</v>
      </c>
    </row>
    <row r="39" spans="1:11" x14ac:dyDescent="0.25">
      <c r="F39" s="28">
        <f t="shared" si="4"/>
        <v>0</v>
      </c>
      <c r="G39" s="398">
        <v>1</v>
      </c>
      <c r="H39" s="399">
        <f t="shared" si="5"/>
        <v>1</v>
      </c>
    </row>
    <row r="40" spans="1:11" x14ac:dyDescent="0.25">
      <c r="F40" s="28">
        <f t="shared" si="4"/>
        <v>0</v>
      </c>
      <c r="G40" s="398">
        <v>1</v>
      </c>
      <c r="H40" s="399">
        <f t="shared" si="5"/>
        <v>1</v>
      </c>
    </row>
    <row r="41" spans="1:11" x14ac:dyDescent="0.25">
      <c r="F41" s="28">
        <f t="shared" si="4"/>
        <v>0</v>
      </c>
      <c r="G41" s="398">
        <v>1</v>
      </c>
      <c r="H41" s="399">
        <f t="shared" si="5"/>
        <v>1</v>
      </c>
    </row>
    <row r="42" spans="1:11" x14ac:dyDescent="0.25">
      <c r="F42" s="28">
        <f t="shared" si="4"/>
        <v>0</v>
      </c>
      <c r="G42" s="398">
        <v>1</v>
      </c>
      <c r="H42" s="399">
        <f t="shared" si="5"/>
        <v>1</v>
      </c>
    </row>
    <row r="43" spans="1:11" x14ac:dyDescent="0.25">
      <c r="F43" s="28">
        <f t="shared" si="4"/>
        <v>0</v>
      </c>
      <c r="G43" s="398">
        <v>1</v>
      </c>
      <c r="H43" s="399">
        <f t="shared" si="5"/>
        <v>1</v>
      </c>
    </row>
    <row r="44" spans="1:11" x14ac:dyDescent="0.25">
      <c r="F44" s="28">
        <f t="shared" si="4"/>
        <v>0</v>
      </c>
      <c r="G44" s="398">
        <v>1</v>
      </c>
      <c r="H44" s="399">
        <f t="shared" si="5"/>
        <v>1</v>
      </c>
    </row>
    <row r="45" spans="1:11" x14ac:dyDescent="0.25">
      <c r="F45" s="28">
        <f t="shared" si="4"/>
        <v>0</v>
      </c>
      <c r="G45" s="398">
        <v>1</v>
      </c>
      <c r="H45" s="399">
        <f t="shared" si="5"/>
        <v>1</v>
      </c>
    </row>
    <row r="46" spans="1:11" x14ac:dyDescent="0.25">
      <c r="F46" s="28">
        <f t="shared" si="4"/>
        <v>0</v>
      </c>
      <c r="G46" s="398">
        <v>1</v>
      </c>
      <c r="H46" s="399">
        <f t="shared" si="5"/>
        <v>1</v>
      </c>
    </row>
    <row r="47" spans="1:11" x14ac:dyDescent="0.25">
      <c r="F47" s="28">
        <f t="shared" si="4"/>
        <v>0</v>
      </c>
      <c r="G47" s="398">
        <v>1</v>
      </c>
      <c r="H47" s="399">
        <f t="shared" si="5"/>
        <v>1</v>
      </c>
    </row>
    <row r="48" spans="1:11" x14ac:dyDescent="0.25">
      <c r="F48" s="28">
        <f t="shared" si="4"/>
        <v>0</v>
      </c>
      <c r="G48" s="398">
        <v>1</v>
      </c>
      <c r="H48" s="399">
        <f t="shared" si="5"/>
        <v>1</v>
      </c>
    </row>
    <row r="49" spans="6:8" x14ac:dyDescent="0.25">
      <c r="F49" s="28">
        <f t="shared" si="4"/>
        <v>0</v>
      </c>
      <c r="G49" s="398">
        <v>1</v>
      </c>
      <c r="H49" s="399">
        <f t="shared" si="5"/>
        <v>1</v>
      </c>
    </row>
    <row r="50" spans="6:8" x14ac:dyDescent="0.25">
      <c r="F50" s="28">
        <f t="shared" si="4"/>
        <v>0</v>
      </c>
      <c r="G50" s="398">
        <v>1</v>
      </c>
      <c r="H50" s="399">
        <f t="shared" si="5"/>
        <v>1</v>
      </c>
    </row>
    <row r="51" spans="6:8" x14ac:dyDescent="0.25">
      <c r="F51" s="28">
        <f t="shared" si="4"/>
        <v>0</v>
      </c>
      <c r="G51" s="398">
        <v>1</v>
      </c>
      <c r="H51" s="399">
        <f t="shared" si="5"/>
        <v>1</v>
      </c>
    </row>
    <row r="52" spans="6:8" x14ac:dyDescent="0.25">
      <c r="F52" s="28">
        <f t="shared" si="4"/>
        <v>0</v>
      </c>
      <c r="G52" s="398">
        <v>1</v>
      </c>
      <c r="H52" s="399">
        <f t="shared" si="5"/>
        <v>1</v>
      </c>
    </row>
    <row r="53" spans="6:8" x14ac:dyDescent="0.25">
      <c r="F53" s="28">
        <f t="shared" si="4"/>
        <v>0</v>
      </c>
      <c r="G53" s="398">
        <v>1</v>
      </c>
      <c r="H53" s="399">
        <f t="shared" si="5"/>
        <v>1</v>
      </c>
    </row>
    <row r="54" spans="6:8" x14ac:dyDescent="0.25">
      <c r="F54" s="28">
        <f t="shared" si="4"/>
        <v>0</v>
      </c>
      <c r="G54" s="398">
        <v>1</v>
      </c>
      <c r="H54" s="399">
        <f t="shared" si="5"/>
        <v>1</v>
      </c>
    </row>
    <row r="55" spans="6:8" x14ac:dyDescent="0.25">
      <c r="F55" s="28">
        <f t="shared" si="4"/>
        <v>0</v>
      </c>
      <c r="G55" s="398">
        <v>1</v>
      </c>
      <c r="H55" s="399">
        <f t="shared" si="5"/>
        <v>1</v>
      </c>
    </row>
    <row r="56" spans="6:8" x14ac:dyDescent="0.25">
      <c r="F56" s="28">
        <f t="shared" si="4"/>
        <v>0</v>
      </c>
      <c r="G56" s="398">
        <v>1</v>
      </c>
      <c r="H56" s="399">
        <f t="shared" si="5"/>
        <v>1</v>
      </c>
    </row>
    <row r="57" spans="6:8" x14ac:dyDescent="0.25">
      <c r="F57" s="28">
        <f t="shared" si="4"/>
        <v>0</v>
      </c>
      <c r="G57" s="398">
        <v>1</v>
      </c>
      <c r="H57" s="399">
        <f t="shared" si="5"/>
        <v>1</v>
      </c>
    </row>
    <row r="58" spans="6:8" x14ac:dyDescent="0.25">
      <c r="F58" s="28">
        <f t="shared" si="4"/>
        <v>0</v>
      </c>
      <c r="G58" s="398">
        <v>1</v>
      </c>
      <c r="H58" s="399">
        <f t="shared" si="5"/>
        <v>1</v>
      </c>
    </row>
    <row r="59" spans="6:8" x14ac:dyDescent="0.25">
      <c r="F59" s="28">
        <f t="shared" si="4"/>
        <v>0</v>
      </c>
      <c r="G59" s="398">
        <v>1</v>
      </c>
      <c r="H59" s="399">
        <f t="shared" si="5"/>
        <v>1</v>
      </c>
    </row>
    <row r="60" spans="6:8" x14ac:dyDescent="0.25">
      <c r="F60" s="28">
        <f t="shared" si="4"/>
        <v>0</v>
      </c>
      <c r="G60" s="398">
        <v>1</v>
      </c>
      <c r="H60" s="399">
        <f t="shared" si="5"/>
        <v>1</v>
      </c>
    </row>
    <row r="61" spans="6:8" x14ac:dyDescent="0.25">
      <c r="F61" s="28">
        <f t="shared" si="4"/>
        <v>0</v>
      </c>
      <c r="G61" s="398">
        <v>1</v>
      </c>
      <c r="H61" s="399">
        <f t="shared" si="5"/>
        <v>1</v>
      </c>
    </row>
    <row r="62" spans="6:8" x14ac:dyDescent="0.25">
      <c r="F62" s="28">
        <f t="shared" si="4"/>
        <v>0</v>
      </c>
      <c r="G62" s="398">
        <v>1</v>
      </c>
      <c r="H62" s="399">
        <f t="shared" si="5"/>
        <v>1</v>
      </c>
    </row>
    <row r="63" spans="6:8" x14ac:dyDescent="0.25">
      <c r="F63" s="28">
        <f t="shared" si="4"/>
        <v>0</v>
      </c>
      <c r="G63" s="398">
        <v>1</v>
      </c>
      <c r="H63" s="399">
        <f t="shared" si="5"/>
        <v>1</v>
      </c>
    </row>
    <row r="64" spans="6:8" x14ac:dyDescent="0.25">
      <c r="F64" s="28">
        <f t="shared" si="4"/>
        <v>0</v>
      </c>
      <c r="G64" s="398">
        <v>1</v>
      </c>
      <c r="H64" s="399">
        <f t="shared" si="5"/>
        <v>1</v>
      </c>
    </row>
    <row r="65" spans="6:8" x14ac:dyDescent="0.25">
      <c r="F65" s="28">
        <f t="shared" si="4"/>
        <v>0</v>
      </c>
      <c r="G65" s="398">
        <v>1</v>
      </c>
      <c r="H65" s="399">
        <f t="shared" si="5"/>
        <v>1</v>
      </c>
    </row>
    <row r="66" spans="6:8" x14ac:dyDescent="0.25">
      <c r="F66" s="28">
        <f t="shared" ref="F66:F76" si="6">SUM(I66*G66)</f>
        <v>0</v>
      </c>
      <c r="G66" s="398">
        <v>1</v>
      </c>
      <c r="H66" s="399">
        <f t="shared" ref="H66:H76" si="7">IF(E66="",1,0)</f>
        <v>1</v>
      </c>
    </row>
    <row r="67" spans="6:8" x14ac:dyDescent="0.25">
      <c r="F67" s="28">
        <f t="shared" si="6"/>
        <v>0</v>
      </c>
      <c r="G67" s="398">
        <v>1</v>
      </c>
      <c r="H67" s="399">
        <f t="shared" si="7"/>
        <v>1</v>
      </c>
    </row>
    <row r="68" spans="6:8" x14ac:dyDescent="0.25">
      <c r="F68" s="28">
        <f t="shared" si="6"/>
        <v>0</v>
      </c>
      <c r="G68" s="398">
        <v>1</v>
      </c>
      <c r="H68" s="399">
        <f t="shared" si="7"/>
        <v>1</v>
      </c>
    </row>
    <row r="69" spans="6:8" x14ac:dyDescent="0.25">
      <c r="F69" s="28">
        <f t="shared" si="6"/>
        <v>0</v>
      </c>
      <c r="G69" s="398">
        <v>1</v>
      </c>
      <c r="H69" s="399">
        <f t="shared" si="7"/>
        <v>1</v>
      </c>
    </row>
    <row r="70" spans="6:8" x14ac:dyDescent="0.25">
      <c r="F70" s="28">
        <f t="shared" si="6"/>
        <v>0</v>
      </c>
      <c r="G70" s="398">
        <v>1</v>
      </c>
      <c r="H70" s="399">
        <f t="shared" si="7"/>
        <v>1</v>
      </c>
    </row>
    <row r="71" spans="6:8" x14ac:dyDescent="0.25">
      <c r="F71" s="28">
        <f t="shared" si="6"/>
        <v>0</v>
      </c>
      <c r="G71" s="398">
        <v>1</v>
      </c>
      <c r="H71" s="399">
        <f t="shared" si="7"/>
        <v>1</v>
      </c>
    </row>
    <row r="72" spans="6:8" x14ac:dyDescent="0.25">
      <c r="F72" s="28">
        <f t="shared" si="6"/>
        <v>0</v>
      </c>
      <c r="G72" s="398">
        <v>1</v>
      </c>
      <c r="H72" s="399">
        <f t="shared" si="7"/>
        <v>1</v>
      </c>
    </row>
    <row r="73" spans="6:8" x14ac:dyDescent="0.25">
      <c r="F73" s="28">
        <f t="shared" si="6"/>
        <v>0</v>
      </c>
      <c r="G73" s="398">
        <v>1</v>
      </c>
      <c r="H73" s="399">
        <f t="shared" si="7"/>
        <v>1</v>
      </c>
    </row>
    <row r="74" spans="6:8" x14ac:dyDescent="0.25">
      <c r="F74" s="28">
        <f t="shared" si="6"/>
        <v>0</v>
      </c>
      <c r="G74" s="398">
        <v>1</v>
      </c>
      <c r="H74" s="399">
        <f t="shared" si="7"/>
        <v>1</v>
      </c>
    </row>
    <row r="75" spans="6:8" x14ac:dyDescent="0.25">
      <c r="F75" s="28">
        <f t="shared" si="6"/>
        <v>0</v>
      </c>
      <c r="G75" s="398">
        <v>1</v>
      </c>
      <c r="H75" s="399">
        <f t="shared" si="7"/>
        <v>1</v>
      </c>
    </row>
    <row r="76" spans="6:8" x14ac:dyDescent="0.25">
      <c r="F76" s="28">
        <f t="shared" si="6"/>
        <v>0</v>
      </c>
      <c r="G76" s="398">
        <v>1</v>
      </c>
      <c r="H76" s="399">
        <f t="shared" si="7"/>
        <v>1</v>
      </c>
    </row>
  </sheetData>
  <autoFilter ref="A1:L1" xr:uid="{00000000-0009-0000-0000-00000D000000}">
    <filterColumn colId="6" showButton="0"/>
  </autoFilter>
  <sortState xmlns:xlrd2="http://schemas.microsoft.com/office/spreadsheetml/2017/richdata2" ref="A2:L82">
    <sortCondition ref="L2:L82"/>
    <sortCondition ref="J2:J82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6"/>
  <sheetViews>
    <sheetView topLeftCell="B1" zoomScaleNormal="100" workbookViewId="0">
      <selection activeCell="M22" sqref="M22"/>
    </sheetView>
  </sheetViews>
  <sheetFormatPr baseColWidth="10" defaultRowHeight="15" x14ac:dyDescent="0.25"/>
  <cols>
    <col min="1" max="1" width="5.7109375" bestFit="1" customWidth="1"/>
    <col min="2" max="2" width="32.28515625" bestFit="1" customWidth="1"/>
    <col min="3" max="3" width="9" bestFit="1" customWidth="1"/>
    <col min="4" max="4" width="10.7109375" style="69" bestFit="1" customWidth="1"/>
    <col min="5" max="5" width="11.42578125" style="69"/>
    <col min="6" max="6" width="11" bestFit="1" customWidth="1"/>
    <col min="7" max="8" width="2" bestFit="1" customWidth="1"/>
    <col min="9" max="9" width="11" style="28" bestFit="1" customWidth="1"/>
    <col min="10" max="10" width="10.7109375" bestFit="1" customWidth="1"/>
    <col min="11" max="11" width="8.140625" bestFit="1" customWidth="1"/>
    <col min="12" max="12" width="13.85546875" bestFit="1" customWidth="1"/>
  </cols>
  <sheetData>
    <row r="1" spans="1:12" s="395" customFormat="1" ht="12.75" x14ac:dyDescent="0.2">
      <c r="A1" s="390" t="s">
        <v>513</v>
      </c>
      <c r="B1" s="390" t="s">
        <v>514</v>
      </c>
      <c r="C1" s="391" t="s">
        <v>515</v>
      </c>
      <c r="D1" s="392" t="s">
        <v>516</v>
      </c>
      <c r="E1" s="392" t="s">
        <v>517</v>
      </c>
      <c r="F1" s="397" t="s">
        <v>518</v>
      </c>
      <c r="G1" s="1006" t="s">
        <v>519</v>
      </c>
      <c r="H1" s="1006"/>
      <c r="I1" s="393" t="s">
        <v>520</v>
      </c>
      <c r="J1" s="392" t="s">
        <v>10</v>
      </c>
      <c r="K1" s="394" t="s">
        <v>521</v>
      </c>
      <c r="L1" s="394" t="s">
        <v>522</v>
      </c>
    </row>
    <row r="2" spans="1:12" x14ac:dyDescent="0.25">
      <c r="A2" t="s">
        <v>523</v>
      </c>
      <c r="B2" t="s">
        <v>1002</v>
      </c>
      <c r="C2" s="389" t="s">
        <v>1017</v>
      </c>
      <c r="D2" s="69">
        <v>43749</v>
      </c>
      <c r="F2" s="28">
        <f t="shared" ref="F2:F6" si="0">SUM(I2*G2)</f>
        <v>5465.4489999999996</v>
      </c>
      <c r="G2" s="398">
        <v>1</v>
      </c>
      <c r="H2" s="399">
        <f t="shared" ref="H2:H6" si="1">IF(E2="",1,0)</f>
        <v>1</v>
      </c>
      <c r="I2" s="28">
        <v>5465.4489999999996</v>
      </c>
      <c r="J2" s="69">
        <f>+D2</f>
        <v>43749</v>
      </c>
      <c r="K2" s="389" t="s">
        <v>1018</v>
      </c>
      <c r="L2" t="s">
        <v>705</v>
      </c>
    </row>
    <row r="3" spans="1:12" x14ac:dyDescent="0.25">
      <c r="F3" s="28">
        <f t="shared" si="0"/>
        <v>0</v>
      </c>
      <c r="G3" s="398">
        <v>1</v>
      </c>
      <c r="H3" s="399">
        <f t="shared" si="1"/>
        <v>1</v>
      </c>
    </row>
    <row r="4" spans="1:12" x14ac:dyDescent="0.25">
      <c r="F4" s="28">
        <f t="shared" si="0"/>
        <v>0</v>
      </c>
      <c r="G4" s="398">
        <v>1</v>
      </c>
      <c r="H4" s="399">
        <f t="shared" si="1"/>
        <v>1</v>
      </c>
    </row>
    <row r="5" spans="1:12" x14ac:dyDescent="0.25">
      <c r="F5" s="28">
        <f t="shared" si="0"/>
        <v>0</v>
      </c>
      <c r="G5" s="398">
        <v>1</v>
      </c>
      <c r="H5" s="399">
        <f t="shared" si="1"/>
        <v>1</v>
      </c>
    </row>
    <row r="6" spans="1:12" x14ac:dyDescent="0.25">
      <c r="F6" s="28">
        <f t="shared" si="0"/>
        <v>0</v>
      </c>
      <c r="G6" s="398">
        <v>1</v>
      </c>
      <c r="H6" s="399">
        <f t="shared" si="1"/>
        <v>1</v>
      </c>
    </row>
  </sheetData>
  <sortState xmlns:xlrd2="http://schemas.microsoft.com/office/spreadsheetml/2017/richdata2" ref="A2:L14">
    <sortCondition ref="L2:L14"/>
    <sortCondition ref="J2:J14"/>
  </sortState>
  <mergeCells count="1">
    <mergeCell ref="G1:H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Q41"/>
  <sheetViews>
    <sheetView workbookViewId="0">
      <selection activeCell="I37" sqref="I37"/>
    </sheetView>
  </sheetViews>
  <sheetFormatPr baseColWidth="10" defaultRowHeight="15" x14ac:dyDescent="0.25"/>
  <cols>
    <col min="1" max="1" width="22.85546875" bestFit="1" customWidth="1"/>
    <col min="2" max="3" width="9.85546875" bestFit="1" customWidth="1"/>
    <col min="4" max="4" width="9" bestFit="1" customWidth="1"/>
    <col min="5" max="5" width="10.140625" bestFit="1" customWidth="1"/>
    <col min="6" max="6" width="10.42578125" customWidth="1"/>
    <col min="7" max="7" width="9.85546875" customWidth="1"/>
    <col min="8" max="8" width="7.42578125" bestFit="1" customWidth="1"/>
    <col min="9" max="9" width="9.85546875" bestFit="1" customWidth="1"/>
    <col min="10" max="10" width="10.42578125" bestFit="1" customWidth="1"/>
    <col min="11" max="11" width="9.42578125" customWidth="1"/>
    <col min="12" max="12" width="9" bestFit="1" customWidth="1"/>
    <col min="13" max="13" width="11.7109375" bestFit="1" customWidth="1"/>
    <col min="14" max="14" width="10.5703125" bestFit="1" customWidth="1"/>
    <col min="15" max="15" width="0.85546875" customWidth="1"/>
    <col min="16" max="16" width="10.42578125" bestFit="1" customWidth="1"/>
  </cols>
  <sheetData>
    <row r="1" spans="1:16" ht="15.75" thickBot="1" x14ac:dyDescent="0.3"/>
    <row r="2" spans="1:16" x14ac:dyDescent="0.25">
      <c r="A2" s="959" t="s">
        <v>173</v>
      </c>
      <c r="B2" s="962" t="s">
        <v>16</v>
      </c>
      <c r="C2" s="1007">
        <v>335000</v>
      </c>
      <c r="D2" s="305">
        <v>42898</v>
      </c>
      <c r="E2" s="242">
        <v>71000</v>
      </c>
    </row>
    <row r="3" spans="1:16" x14ac:dyDescent="0.25">
      <c r="A3" s="960"/>
      <c r="B3" s="963"/>
      <c r="C3" s="1008"/>
      <c r="D3" s="353">
        <v>42927</v>
      </c>
      <c r="E3" s="243">
        <v>40000</v>
      </c>
    </row>
    <row r="4" spans="1:16" x14ac:dyDescent="0.25">
      <c r="A4" s="960"/>
      <c r="B4" s="963"/>
      <c r="C4" s="1008"/>
      <c r="D4" s="353">
        <v>43004</v>
      </c>
      <c r="E4" s="243">
        <v>15000</v>
      </c>
    </row>
    <row r="5" spans="1:16" x14ac:dyDescent="0.25">
      <c r="A5" s="960"/>
      <c r="B5" s="963"/>
      <c r="C5" s="1008"/>
      <c r="D5" s="353">
        <v>43006</v>
      </c>
      <c r="E5" s="243">
        <v>16000</v>
      </c>
    </row>
    <row r="6" spans="1:16" x14ac:dyDescent="0.25">
      <c r="A6" s="960"/>
      <c r="B6" s="963"/>
      <c r="C6" s="1008"/>
      <c r="D6" s="353">
        <v>43020</v>
      </c>
      <c r="E6" s="243">
        <v>25000</v>
      </c>
    </row>
    <row r="7" spans="1:16" x14ac:dyDescent="0.25">
      <c r="A7" s="961"/>
      <c r="B7" s="964"/>
      <c r="C7" s="1009"/>
      <c r="D7" s="353">
        <v>43208</v>
      </c>
      <c r="E7" s="243">
        <v>45000</v>
      </c>
    </row>
    <row r="8" spans="1:16" x14ac:dyDescent="0.25">
      <c r="A8" s="181" t="s">
        <v>173</v>
      </c>
      <c r="B8" s="195" t="s">
        <v>16</v>
      </c>
      <c r="C8" s="196">
        <f>65000</f>
        <v>65000</v>
      </c>
      <c r="D8" s="353">
        <v>43189</v>
      </c>
      <c r="E8" s="243">
        <v>59500</v>
      </c>
    </row>
    <row r="9" spans="1:16" x14ac:dyDescent="0.25">
      <c r="A9" s="181"/>
      <c r="B9" s="195"/>
      <c r="C9" s="196"/>
      <c r="D9" s="353"/>
      <c r="E9" s="243"/>
    </row>
    <row r="10" spans="1:16" ht="15.75" thickBot="1" x14ac:dyDescent="0.3">
      <c r="A10" s="137" t="s">
        <v>173</v>
      </c>
      <c r="B10" s="176" t="s">
        <v>16</v>
      </c>
      <c r="C10" s="138">
        <f>14477.06+837.73</f>
        <v>15314.789999999999</v>
      </c>
      <c r="D10" s="306"/>
      <c r="E10" s="186"/>
    </row>
    <row r="11" spans="1:16" ht="15.75" thickBot="1" x14ac:dyDescent="0.3">
      <c r="A11" s="377" t="s">
        <v>76</v>
      </c>
      <c r="B11" s="378"/>
      <c r="C11" s="202">
        <f>SUM(C2:C10)</f>
        <v>415314.79</v>
      </c>
      <c r="D11" s="15"/>
      <c r="E11" s="202">
        <f>SUM(E2:E10)</f>
        <v>271500</v>
      </c>
    </row>
    <row r="12" spans="1:16" ht="15.75" thickBot="1" x14ac:dyDescent="0.3"/>
    <row r="13" spans="1:16" ht="15.75" thickBot="1" x14ac:dyDescent="0.3">
      <c r="A13" s="1010" t="s">
        <v>45</v>
      </c>
      <c r="B13" s="1011"/>
      <c r="C13" s="1011"/>
      <c r="D13" s="1011"/>
      <c r="E13" s="1011"/>
      <c r="F13" s="1011"/>
      <c r="G13" s="1011"/>
      <c r="H13" s="1011"/>
      <c r="I13" s="1011"/>
      <c r="J13" s="1011"/>
      <c r="K13" s="1011"/>
      <c r="L13" s="1011"/>
      <c r="M13" s="1012"/>
    </row>
    <row r="14" spans="1:16" ht="15.75" thickBot="1" x14ac:dyDescent="0.3">
      <c r="A14" s="994" t="s">
        <v>0</v>
      </c>
      <c r="B14" s="996" t="s">
        <v>1</v>
      </c>
      <c r="C14" s="996"/>
      <c r="D14" s="996"/>
      <c r="E14" s="996"/>
      <c r="F14" s="996"/>
      <c r="G14" s="996"/>
      <c r="H14" s="997" t="s">
        <v>2</v>
      </c>
      <c r="I14" s="997"/>
      <c r="J14" s="997"/>
      <c r="K14" s="997" t="s">
        <v>3</v>
      </c>
      <c r="L14" s="997"/>
      <c r="M14" s="994" t="s">
        <v>4</v>
      </c>
    </row>
    <row r="15" spans="1:16" ht="15.75" thickBot="1" x14ac:dyDescent="0.3">
      <c r="A15" s="995"/>
      <c r="B15" s="379" t="s">
        <v>5</v>
      </c>
      <c r="C15" s="379" t="s">
        <v>6</v>
      </c>
      <c r="D15" s="379" t="s">
        <v>7</v>
      </c>
      <c r="E15" s="17" t="s">
        <v>8</v>
      </c>
      <c r="F15" s="16" t="s">
        <v>9</v>
      </c>
      <c r="G15" s="380" t="s">
        <v>10</v>
      </c>
      <c r="H15" s="16" t="s">
        <v>11</v>
      </c>
      <c r="I15" s="379" t="s">
        <v>12</v>
      </c>
      <c r="J15" s="380" t="s">
        <v>13</v>
      </c>
      <c r="K15" s="17" t="s">
        <v>11</v>
      </c>
      <c r="L15" s="18" t="s">
        <v>14</v>
      </c>
      <c r="M15" s="995"/>
      <c r="N15" t="s">
        <v>257</v>
      </c>
      <c r="P15" t="s">
        <v>265</v>
      </c>
    </row>
    <row r="16" spans="1:16" x14ac:dyDescent="0.25">
      <c r="A16" s="39" t="s">
        <v>231</v>
      </c>
      <c r="B16" s="40" t="s">
        <v>233</v>
      </c>
      <c r="C16" s="41">
        <v>43147</v>
      </c>
      <c r="D16" s="45" t="s">
        <v>16</v>
      </c>
      <c r="E16" s="42">
        <v>73120.639999999999</v>
      </c>
      <c r="F16" s="43">
        <f>+E16*2.9473</f>
        <v>215508.46227199998</v>
      </c>
      <c r="G16" s="44">
        <f>+C16+60</f>
        <v>43207</v>
      </c>
      <c r="H16" s="162"/>
      <c r="I16" s="45"/>
      <c r="J16" s="161"/>
      <c r="K16" s="47">
        <v>70000</v>
      </c>
      <c r="L16" s="46"/>
      <c r="M16" s="185">
        <f>E16-K16</f>
        <v>3120.6399999999994</v>
      </c>
      <c r="N16" s="42">
        <v>95143.039999999994</v>
      </c>
      <c r="P16" s="70">
        <f>E16-N16</f>
        <v>-22022.399999999994</v>
      </c>
    </row>
    <row r="17" spans="1:17" x14ac:dyDescent="0.25">
      <c r="A17" s="39" t="s">
        <v>235</v>
      </c>
      <c r="B17" s="40" t="s">
        <v>236</v>
      </c>
      <c r="C17" s="41">
        <v>43174</v>
      </c>
      <c r="D17" s="45" t="s">
        <v>16</v>
      </c>
      <c r="E17" s="42">
        <v>74078.350000000006</v>
      </c>
      <c r="F17" s="43">
        <f>+E17*2.9419</f>
        <v>217931.09786500002</v>
      </c>
      <c r="G17" s="44">
        <f>+C17+60</f>
        <v>43234</v>
      </c>
      <c r="H17" s="162"/>
      <c r="I17" s="45"/>
      <c r="J17" s="161"/>
      <c r="K17" s="47"/>
      <c r="L17" s="46"/>
      <c r="M17" s="185">
        <f>E17-K17</f>
        <v>74078.350000000006</v>
      </c>
      <c r="N17" s="42">
        <v>89078.35</v>
      </c>
      <c r="P17" s="70">
        <f>E17-N17</f>
        <v>-15000</v>
      </c>
    </row>
    <row r="18" spans="1:17" x14ac:dyDescent="0.25">
      <c r="A18" s="39" t="s">
        <v>235</v>
      </c>
      <c r="B18" s="40" t="s">
        <v>241</v>
      </c>
      <c r="C18" s="41">
        <v>43213</v>
      </c>
      <c r="D18" s="45" t="s">
        <v>16</v>
      </c>
      <c r="E18" s="42">
        <v>70110.52</v>
      </c>
      <c r="F18" s="43">
        <f>+E18*2.95395</f>
        <v>207102.970554</v>
      </c>
      <c r="G18" s="44">
        <f>+C18+60</f>
        <v>43273</v>
      </c>
      <c r="H18" s="162"/>
      <c r="I18" s="45"/>
      <c r="J18" s="161"/>
      <c r="K18" s="47"/>
      <c r="L18" s="46"/>
      <c r="M18" s="185">
        <f>E18-K18</f>
        <v>70110.52</v>
      </c>
      <c r="N18" s="42">
        <v>80110.509999999995</v>
      </c>
      <c r="P18" s="70">
        <f>E18-N18</f>
        <v>-9999.9899999999907</v>
      </c>
    </row>
    <row r="19" spans="1:17" x14ac:dyDescent="0.25">
      <c r="A19" s="39" t="s">
        <v>235</v>
      </c>
      <c r="B19" s="40" t="s">
        <v>252</v>
      </c>
      <c r="C19" s="41">
        <v>43235</v>
      </c>
      <c r="D19" s="45" t="s">
        <v>16</v>
      </c>
      <c r="E19" s="42">
        <v>59539.5</v>
      </c>
      <c r="F19" s="43">
        <f>E19*2.97945</f>
        <v>177394.96327499999</v>
      </c>
      <c r="G19" s="44">
        <f>+C19+60</f>
        <v>43295</v>
      </c>
      <c r="H19" s="162"/>
      <c r="I19" s="45"/>
      <c r="J19" s="161"/>
      <c r="K19" s="47"/>
      <c r="L19" s="46"/>
      <c r="M19" s="185">
        <f>E19-K19</f>
        <v>59539.5</v>
      </c>
      <c r="N19" s="2"/>
      <c r="P19" s="70"/>
    </row>
    <row r="20" spans="1:17" x14ac:dyDescent="0.25">
      <c r="A20" s="39" t="s">
        <v>235</v>
      </c>
      <c r="B20" s="40" t="s">
        <v>254</v>
      </c>
      <c r="C20" s="41">
        <v>43243</v>
      </c>
      <c r="D20" s="45" t="s">
        <v>16</v>
      </c>
      <c r="E20" s="42">
        <v>64244.86</v>
      </c>
      <c r="F20" s="43">
        <f>+E20*2.97525</f>
        <v>191144.519715</v>
      </c>
      <c r="G20" s="44">
        <f>+C20+60</f>
        <v>43303</v>
      </c>
      <c r="H20" s="162"/>
      <c r="I20" s="45"/>
      <c r="J20" s="161"/>
      <c r="K20" s="47"/>
      <c r="L20" s="46"/>
      <c r="M20" s="185">
        <f>E20-K20</f>
        <v>64244.86</v>
      </c>
      <c r="N20" s="2"/>
      <c r="P20" s="70"/>
    </row>
    <row r="21" spans="1:17" s="1" customFormat="1" ht="12.75" x14ac:dyDescent="0.2">
      <c r="A21" s="39" t="s">
        <v>235</v>
      </c>
      <c r="B21" s="40" t="s">
        <v>261</v>
      </c>
      <c r="C21" s="41">
        <v>43262</v>
      </c>
      <c r="D21" s="45" t="s">
        <v>16</v>
      </c>
      <c r="E21" s="42">
        <v>62886.3</v>
      </c>
      <c r="F21" s="43">
        <v>189416.67991500002</v>
      </c>
      <c r="G21" s="44">
        <v>43322</v>
      </c>
      <c r="H21" s="162"/>
      <c r="I21" s="45"/>
      <c r="J21" s="161"/>
      <c r="K21" s="47"/>
      <c r="L21" s="46"/>
      <c r="M21" s="185">
        <v>62886.3</v>
      </c>
      <c r="N21" s="198"/>
      <c r="O21" s="37"/>
      <c r="Q21" s="2"/>
    </row>
    <row r="22" spans="1:17" s="1" customFormat="1" ht="12.75" x14ac:dyDescent="0.2">
      <c r="A22" s="39" t="s">
        <v>235</v>
      </c>
      <c r="B22" s="40" t="s">
        <v>264</v>
      </c>
      <c r="C22" s="41">
        <v>43291</v>
      </c>
      <c r="D22" s="45" t="s">
        <v>16</v>
      </c>
      <c r="E22" s="42">
        <v>70446.11</v>
      </c>
      <c r="F22" s="43">
        <v>216417.494531</v>
      </c>
      <c r="G22" s="44">
        <v>43351</v>
      </c>
      <c r="H22" s="162"/>
      <c r="I22" s="45"/>
      <c r="J22" s="161"/>
      <c r="K22" s="47"/>
      <c r="L22" s="46"/>
      <c r="M22" s="185">
        <v>70446.11</v>
      </c>
      <c r="N22" s="198"/>
      <c r="O22" s="37"/>
      <c r="Q22" s="2"/>
    </row>
    <row r="23" spans="1:17" x14ac:dyDescent="0.25">
      <c r="A23" s="39"/>
      <c r="B23" s="40"/>
      <c r="C23" s="41"/>
      <c r="D23" s="45"/>
      <c r="E23" s="42"/>
      <c r="F23" s="43"/>
      <c r="G23" s="44"/>
      <c r="H23" s="162"/>
      <c r="I23" s="45"/>
      <c r="J23" s="161"/>
      <c r="K23" s="47"/>
      <c r="L23" s="46"/>
      <c r="M23" s="185"/>
      <c r="N23" s="2"/>
      <c r="P23" s="70"/>
    </row>
    <row r="24" spans="1:17" ht="15.75" thickBot="1" x14ac:dyDescent="0.3">
      <c r="A24" s="48"/>
      <c r="B24" s="49"/>
      <c r="C24" s="50"/>
      <c r="D24" s="50"/>
      <c r="E24" s="51"/>
      <c r="F24" s="52"/>
      <c r="G24" s="53"/>
      <c r="H24" s="54"/>
      <c r="I24" s="50"/>
      <c r="J24" s="55"/>
      <c r="K24" s="56"/>
      <c r="L24" s="55"/>
      <c r="M24" s="197"/>
    </row>
    <row r="25" spans="1:17" ht="15.75" thickBot="1" x14ac:dyDescent="0.3">
      <c r="A25" s="1"/>
      <c r="B25" s="1"/>
      <c r="C25" s="1"/>
      <c r="D25" s="1"/>
      <c r="E25" s="2"/>
      <c r="F25" s="3"/>
      <c r="G25" s="178"/>
      <c r="H25" s="3"/>
      <c r="I25" s="1"/>
      <c r="J25" s="1"/>
      <c r="K25" s="2"/>
      <c r="L25" s="1"/>
      <c r="M25" s="1"/>
    </row>
    <row r="26" spans="1:17" ht="15.75" thickBot="1" x14ac:dyDescent="0.3">
      <c r="A26" s="1013" t="s">
        <v>180</v>
      </c>
      <c r="B26" s="1014"/>
      <c r="C26" s="1014"/>
      <c r="D26" s="1014"/>
      <c r="E26" s="1014"/>
      <c r="F26" s="1014"/>
      <c r="G26" s="1014"/>
      <c r="H26" s="1014"/>
      <c r="I26" s="1014"/>
      <c r="J26" s="1014"/>
      <c r="K26" s="1014"/>
      <c r="L26" s="1014"/>
      <c r="M26" s="1015"/>
    </row>
    <row r="27" spans="1:17" ht="15.75" thickBot="1" x14ac:dyDescent="0.3">
      <c r="A27" s="998" t="s">
        <v>0</v>
      </c>
      <c r="B27" s="996" t="s">
        <v>1</v>
      </c>
      <c r="C27" s="996"/>
      <c r="D27" s="996"/>
      <c r="E27" s="996"/>
      <c r="F27" s="996"/>
      <c r="G27" s="996"/>
      <c r="H27" s="997" t="s">
        <v>2</v>
      </c>
      <c r="I27" s="997"/>
      <c r="J27" s="997"/>
      <c r="K27" s="997" t="s">
        <v>3</v>
      </c>
      <c r="L27" s="997"/>
      <c r="M27" s="998" t="s">
        <v>4</v>
      </c>
    </row>
    <row r="28" spans="1:17" ht="15.75" thickBot="1" x14ac:dyDescent="0.3">
      <c r="A28" s="998"/>
      <c r="B28" s="379" t="s">
        <v>5</v>
      </c>
      <c r="C28" s="379" t="s">
        <v>6</v>
      </c>
      <c r="D28" s="379" t="s">
        <v>7</v>
      </c>
      <c r="E28" s="17" t="s">
        <v>8</v>
      </c>
      <c r="F28" s="16" t="s">
        <v>9</v>
      </c>
      <c r="G28" s="380" t="s">
        <v>10</v>
      </c>
      <c r="H28" s="16" t="s">
        <v>11</v>
      </c>
      <c r="I28" s="379" t="s">
        <v>12</v>
      </c>
      <c r="J28" s="380" t="s">
        <v>13</v>
      </c>
      <c r="K28" s="17" t="s">
        <v>11</v>
      </c>
      <c r="L28" s="380" t="s">
        <v>14</v>
      </c>
      <c r="M28" s="998"/>
    </row>
    <row r="29" spans="1:17" x14ac:dyDescent="0.25">
      <c r="A29" s="233" t="s">
        <v>180</v>
      </c>
      <c r="B29" s="200" t="s">
        <v>194</v>
      </c>
      <c r="C29" s="234">
        <v>42965</v>
      </c>
      <c r="D29" s="235" t="s">
        <v>16</v>
      </c>
      <c r="E29" s="236">
        <v>15050</v>
      </c>
      <c r="F29" s="201">
        <f>+E29*2.80865</f>
        <v>42270.182500000003</v>
      </c>
      <c r="G29" s="237">
        <f t="shared" ref="G29:G34" si="0">+C29+60</f>
        <v>43025</v>
      </c>
      <c r="H29" s="238"/>
      <c r="I29" s="234"/>
      <c r="J29" s="237"/>
      <c r="K29" s="239"/>
      <c r="L29" s="240"/>
      <c r="M29" s="241">
        <f t="shared" ref="M29:M34" si="1">E29-K29</f>
        <v>15050</v>
      </c>
    </row>
    <row r="30" spans="1:17" x14ac:dyDescent="0.25">
      <c r="A30" s="233" t="s">
        <v>180</v>
      </c>
      <c r="B30" s="200" t="s">
        <v>196</v>
      </c>
      <c r="C30" s="234">
        <v>42977</v>
      </c>
      <c r="D30" s="235" t="s">
        <v>16</v>
      </c>
      <c r="E30" s="236">
        <v>30250</v>
      </c>
      <c r="F30" s="201">
        <f>+E30*2.889</f>
        <v>87392.25</v>
      </c>
      <c r="G30" s="237">
        <f t="shared" si="0"/>
        <v>43037</v>
      </c>
      <c r="H30" s="238"/>
      <c r="I30" s="234"/>
      <c r="J30" s="237"/>
      <c r="K30" s="239"/>
      <c r="L30" s="240"/>
      <c r="M30" s="241">
        <f t="shared" si="1"/>
        <v>30250</v>
      </c>
    </row>
    <row r="31" spans="1:17" x14ac:dyDescent="0.25">
      <c r="A31" s="233" t="s">
        <v>180</v>
      </c>
      <c r="B31" s="200" t="s">
        <v>198</v>
      </c>
      <c r="C31" s="234">
        <v>42992</v>
      </c>
      <c r="D31" s="235" t="s">
        <v>16</v>
      </c>
      <c r="E31" s="236">
        <v>34946.269999999997</v>
      </c>
      <c r="F31" s="201">
        <f>+E31*2.899</f>
        <v>101309.23672999999</v>
      </c>
      <c r="G31" s="237">
        <f t="shared" si="0"/>
        <v>43052</v>
      </c>
      <c r="H31" s="238"/>
      <c r="I31" s="234"/>
      <c r="J31" s="237"/>
      <c r="K31" s="239"/>
      <c r="L31" s="240"/>
      <c r="M31" s="241">
        <f t="shared" si="1"/>
        <v>34946.269999999997</v>
      </c>
    </row>
    <row r="32" spans="1:17" x14ac:dyDescent="0.25">
      <c r="A32" s="233" t="s">
        <v>180</v>
      </c>
      <c r="B32" s="200" t="s">
        <v>201</v>
      </c>
      <c r="C32" s="234">
        <v>43006</v>
      </c>
      <c r="D32" s="235" t="s">
        <v>16</v>
      </c>
      <c r="E32" s="236">
        <v>44550</v>
      </c>
      <c r="F32" s="201">
        <f>+E32*2.893</f>
        <v>128883.15</v>
      </c>
      <c r="G32" s="237">
        <f t="shared" si="0"/>
        <v>43066</v>
      </c>
      <c r="H32" s="238"/>
      <c r="I32" s="234"/>
      <c r="J32" s="237"/>
      <c r="K32" s="239"/>
      <c r="L32" s="240"/>
      <c r="M32" s="241">
        <f t="shared" si="1"/>
        <v>44550</v>
      </c>
    </row>
    <row r="33" spans="1:13" x14ac:dyDescent="0.25">
      <c r="A33" s="233" t="s">
        <v>180</v>
      </c>
      <c r="B33" s="200" t="s">
        <v>203</v>
      </c>
      <c r="C33" s="234">
        <v>43019</v>
      </c>
      <c r="D33" s="235" t="s">
        <v>16</v>
      </c>
      <c r="E33" s="236">
        <v>27337.5</v>
      </c>
      <c r="F33" s="201">
        <f>+E33*2.9093</f>
        <v>79532.988750000004</v>
      </c>
      <c r="G33" s="237">
        <f t="shared" si="0"/>
        <v>43079</v>
      </c>
      <c r="H33" s="238"/>
      <c r="I33" s="234"/>
      <c r="J33" s="237"/>
      <c r="K33" s="239"/>
      <c r="L33" s="240"/>
      <c r="M33" s="241">
        <f t="shared" si="1"/>
        <v>27337.5</v>
      </c>
    </row>
    <row r="34" spans="1:13" x14ac:dyDescent="0.25">
      <c r="A34" s="233" t="s">
        <v>180</v>
      </c>
      <c r="B34" s="200" t="s">
        <v>207</v>
      </c>
      <c r="C34" s="234">
        <v>43034</v>
      </c>
      <c r="D34" s="235" t="s">
        <v>16</v>
      </c>
      <c r="E34" s="236">
        <v>15386.35</v>
      </c>
      <c r="F34" s="201">
        <f>+E34*2.9096</f>
        <v>44768.123960000004</v>
      </c>
      <c r="G34" s="237">
        <f t="shared" si="0"/>
        <v>43094</v>
      </c>
      <c r="H34" s="238"/>
      <c r="I34" s="234"/>
      <c r="J34" s="237"/>
      <c r="K34" s="239"/>
      <c r="L34" s="240"/>
      <c r="M34" s="241">
        <f t="shared" si="1"/>
        <v>15386.35</v>
      </c>
    </row>
    <row r="35" spans="1:13" ht="15.75" thickBot="1" x14ac:dyDescent="0.3">
      <c r="A35" s="4"/>
      <c r="B35" s="5"/>
      <c r="C35" s="6"/>
      <c r="D35" s="7"/>
      <c r="E35" s="8"/>
      <c r="F35" s="9"/>
      <c r="G35" s="10"/>
      <c r="H35" s="11"/>
      <c r="I35" s="6"/>
      <c r="J35" s="10"/>
      <c r="K35" s="12"/>
      <c r="L35" s="13"/>
      <c r="M35" s="14"/>
    </row>
    <row r="36" spans="1:13" ht="15.75" thickBot="1" x14ac:dyDescent="0.3">
      <c r="A36" s="1"/>
      <c r="B36" s="1"/>
      <c r="C36" s="1"/>
      <c r="D36" s="1"/>
      <c r="E36" s="2"/>
      <c r="F36" s="3"/>
      <c r="G36" s="177"/>
      <c r="H36" s="3"/>
      <c r="I36" s="1"/>
      <c r="J36" s="1"/>
      <c r="K36" s="2"/>
      <c r="L36" s="1"/>
      <c r="M36" s="1"/>
    </row>
    <row r="37" spans="1:13" ht="15.75" thickBot="1" x14ac:dyDescent="0.3">
      <c r="A37" s="1"/>
      <c r="B37" s="381" t="s">
        <v>47</v>
      </c>
      <c r="C37" s="3"/>
      <c r="D37" s="1"/>
      <c r="E37" s="3"/>
      <c r="F37" s="1"/>
      <c r="G37" s="1"/>
      <c r="H37" s="2"/>
      <c r="I37" s="1"/>
      <c r="J37" s="1"/>
    </row>
    <row r="38" spans="1:13" x14ac:dyDescent="0.25">
      <c r="A38" s="382" t="s">
        <v>231</v>
      </c>
      <c r="B38" s="383">
        <f>M16</f>
        <v>3120.6399999999994</v>
      </c>
      <c r="C38" s="3"/>
      <c r="D38" s="1"/>
      <c r="E38" s="3"/>
      <c r="F38" s="1"/>
      <c r="G38" s="1"/>
      <c r="H38" s="2"/>
      <c r="I38" s="1"/>
      <c r="J38" s="1"/>
    </row>
    <row r="39" spans="1:13" x14ac:dyDescent="0.25">
      <c r="A39" s="384" t="s">
        <v>238</v>
      </c>
      <c r="B39" s="385">
        <f>+E17+E18+E19+E20+E21+E22</f>
        <v>401305.63999999996</v>
      </c>
      <c r="C39" s="3"/>
      <c r="D39" s="1"/>
      <c r="E39" s="3"/>
      <c r="F39" s="1"/>
      <c r="G39" s="1"/>
      <c r="H39" s="2"/>
      <c r="I39" s="1"/>
      <c r="J39" s="1"/>
    </row>
    <row r="40" spans="1:13" ht="15.75" thickBot="1" x14ac:dyDescent="0.3">
      <c r="A40" s="386" t="s">
        <v>173</v>
      </c>
      <c r="B40" s="387">
        <f>M29+M30+M31+M32+M33+M34</f>
        <v>167520.12</v>
      </c>
      <c r="C40" s="3"/>
      <c r="D40" s="1"/>
      <c r="E40" s="3"/>
      <c r="F40" s="1"/>
      <c r="G40" s="1"/>
      <c r="H40" s="2"/>
      <c r="I40" s="1"/>
      <c r="J40" s="1"/>
    </row>
    <row r="41" spans="1:13" ht="15.75" thickBot="1" x14ac:dyDescent="0.3">
      <c r="A41" s="1"/>
      <c r="B41" s="388">
        <f>SUM(B38:B40)</f>
        <v>571946.39999999991</v>
      </c>
      <c r="C41" s="3"/>
      <c r="D41" s="1"/>
      <c r="E41" s="3"/>
      <c r="F41" s="1"/>
      <c r="G41" s="1"/>
      <c r="H41" s="2"/>
      <c r="I41" s="1"/>
      <c r="J41" s="1"/>
    </row>
  </sheetData>
  <mergeCells count="15">
    <mergeCell ref="A26:M26"/>
    <mergeCell ref="A27:A28"/>
    <mergeCell ref="B27:G27"/>
    <mergeCell ref="H27:J27"/>
    <mergeCell ref="K27:L27"/>
    <mergeCell ref="M27:M28"/>
    <mergeCell ref="A2:A7"/>
    <mergeCell ref="B2:B7"/>
    <mergeCell ref="C2:C7"/>
    <mergeCell ref="A13:M13"/>
    <mergeCell ref="A14:A15"/>
    <mergeCell ref="B14:G14"/>
    <mergeCell ref="H14:J14"/>
    <mergeCell ref="K14:L14"/>
    <mergeCell ref="M14:M15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180" verticalDpi="18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1"/>
  <sheetViews>
    <sheetView tabSelected="1" topLeftCell="B1" workbookViewId="0">
      <selection activeCell="M28" sqref="M28"/>
    </sheetView>
  </sheetViews>
  <sheetFormatPr baseColWidth="10" defaultRowHeight="15" x14ac:dyDescent="0.25"/>
  <cols>
    <col min="1" max="1" width="5.7109375" bestFit="1" customWidth="1"/>
    <col min="2" max="2" width="32.28515625" bestFit="1" customWidth="1"/>
    <col min="3" max="3" width="9" bestFit="1" customWidth="1"/>
    <col min="4" max="4" width="10.7109375" style="69" bestFit="1" customWidth="1"/>
    <col min="5" max="5" width="11.42578125" style="69"/>
    <col min="6" max="6" width="11" bestFit="1" customWidth="1"/>
    <col min="7" max="8" width="2" bestFit="1" customWidth="1"/>
    <col min="9" max="9" width="11" style="28" bestFit="1" customWidth="1"/>
    <col min="10" max="10" width="10.7109375" bestFit="1" customWidth="1"/>
    <col min="11" max="11" width="8.140625" bestFit="1" customWidth="1"/>
    <col min="12" max="12" width="13.85546875" bestFit="1" customWidth="1"/>
  </cols>
  <sheetData>
    <row r="1" spans="1:12" s="395" customFormat="1" ht="12.75" x14ac:dyDescent="0.2">
      <c r="A1" s="390" t="s">
        <v>513</v>
      </c>
      <c r="B1" s="390" t="s">
        <v>514</v>
      </c>
      <c r="C1" s="391" t="s">
        <v>515</v>
      </c>
      <c r="D1" s="392" t="s">
        <v>516</v>
      </c>
      <c r="E1" s="392" t="s">
        <v>517</v>
      </c>
      <c r="F1" s="397" t="s">
        <v>518</v>
      </c>
      <c r="G1" s="1006" t="s">
        <v>519</v>
      </c>
      <c r="H1" s="1006"/>
      <c r="I1" s="393" t="s">
        <v>520</v>
      </c>
      <c r="J1" s="392" t="s">
        <v>10</v>
      </c>
      <c r="K1" s="394" t="s">
        <v>521</v>
      </c>
      <c r="L1" s="394" t="s">
        <v>522</v>
      </c>
    </row>
    <row r="2" spans="1:12" x14ac:dyDescent="0.25">
      <c r="A2" t="s">
        <v>523</v>
      </c>
      <c r="B2" t="s">
        <v>1002</v>
      </c>
      <c r="C2" s="389" t="s">
        <v>1004</v>
      </c>
      <c r="D2" s="69">
        <v>43749</v>
      </c>
      <c r="F2" s="28">
        <f t="shared" ref="F2:F11" si="0">SUM(I2*G2)</f>
        <v>4189.7730000000001</v>
      </c>
      <c r="G2" s="398">
        <v>1</v>
      </c>
      <c r="H2" s="399">
        <f t="shared" ref="H2:H11" si="1">IF(E2="",1,0)</f>
        <v>1</v>
      </c>
      <c r="I2" s="28">
        <v>4189.7730000000001</v>
      </c>
      <c r="J2" s="69">
        <f>+D2</f>
        <v>43749</v>
      </c>
      <c r="K2" s="389" t="s">
        <v>1005</v>
      </c>
      <c r="L2" t="s">
        <v>705</v>
      </c>
    </row>
    <row r="3" spans="1:12" x14ac:dyDescent="0.25">
      <c r="A3" t="s">
        <v>1151</v>
      </c>
      <c r="B3" t="s">
        <v>1003</v>
      </c>
      <c r="C3" s="389" t="s">
        <v>1155</v>
      </c>
      <c r="D3" s="69">
        <v>43798</v>
      </c>
      <c r="F3" s="28">
        <f t="shared" si="0"/>
        <v>190.20099999999999</v>
      </c>
      <c r="G3" s="398">
        <v>1</v>
      </c>
      <c r="H3" s="399">
        <f t="shared" si="1"/>
        <v>1</v>
      </c>
      <c r="I3" s="28">
        <v>190.20099999999999</v>
      </c>
      <c r="J3" s="69">
        <f t="shared" ref="J3" si="2">+D3</f>
        <v>43798</v>
      </c>
      <c r="K3" s="389" t="s">
        <v>1156</v>
      </c>
    </row>
    <row r="4" spans="1:12" x14ac:dyDescent="0.25">
      <c r="F4" s="28">
        <f t="shared" si="0"/>
        <v>0</v>
      </c>
      <c r="G4" s="398">
        <v>1</v>
      </c>
      <c r="H4" s="399">
        <f t="shared" si="1"/>
        <v>1</v>
      </c>
    </row>
    <row r="5" spans="1:12" x14ac:dyDescent="0.25">
      <c r="F5" s="28">
        <f t="shared" si="0"/>
        <v>0</v>
      </c>
      <c r="G5" s="398">
        <v>1</v>
      </c>
      <c r="H5" s="399">
        <f t="shared" si="1"/>
        <v>1</v>
      </c>
    </row>
    <row r="6" spans="1:12" x14ac:dyDescent="0.25">
      <c r="F6" s="28">
        <f t="shared" si="0"/>
        <v>0</v>
      </c>
      <c r="G6" s="398">
        <v>1</v>
      </c>
      <c r="H6" s="399">
        <f t="shared" si="1"/>
        <v>1</v>
      </c>
    </row>
    <row r="7" spans="1:12" x14ac:dyDescent="0.25">
      <c r="F7" s="28">
        <f t="shared" si="0"/>
        <v>0</v>
      </c>
      <c r="G7" s="398">
        <v>1</v>
      </c>
      <c r="H7" s="399">
        <f t="shared" si="1"/>
        <v>1</v>
      </c>
    </row>
    <row r="8" spans="1:12" x14ac:dyDescent="0.25">
      <c r="F8" s="28">
        <f t="shared" si="0"/>
        <v>0</v>
      </c>
      <c r="G8" s="398">
        <v>1</v>
      </c>
      <c r="H8" s="399">
        <f t="shared" si="1"/>
        <v>1</v>
      </c>
    </row>
    <row r="9" spans="1:12" x14ac:dyDescent="0.25">
      <c r="F9" s="28">
        <f t="shared" si="0"/>
        <v>0</v>
      </c>
      <c r="G9" s="398">
        <v>1</v>
      </c>
      <c r="H9" s="399">
        <f t="shared" si="1"/>
        <v>1</v>
      </c>
    </row>
    <row r="10" spans="1:12" x14ac:dyDescent="0.25">
      <c r="F10" s="28">
        <f t="shared" si="0"/>
        <v>0</v>
      </c>
      <c r="G10" s="398">
        <v>1</v>
      </c>
      <c r="H10" s="399">
        <f t="shared" si="1"/>
        <v>1</v>
      </c>
    </row>
    <row r="11" spans="1:12" x14ac:dyDescent="0.25">
      <c r="F11" s="28">
        <f t="shared" si="0"/>
        <v>0</v>
      </c>
      <c r="G11" s="398">
        <v>1</v>
      </c>
      <c r="H11" s="399">
        <f t="shared" si="1"/>
        <v>1</v>
      </c>
    </row>
  </sheetData>
  <mergeCells count="1">
    <mergeCell ref="G1:H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O42"/>
  <sheetViews>
    <sheetView topLeftCell="A16" workbookViewId="0">
      <selection activeCell="D34" sqref="D34"/>
    </sheetView>
  </sheetViews>
  <sheetFormatPr baseColWidth="10" defaultRowHeight="12.75" x14ac:dyDescent="0.2"/>
  <cols>
    <col min="1" max="1" width="9" style="1" bestFit="1" customWidth="1"/>
    <col min="2" max="2" width="17" style="1" bestFit="1" customWidth="1"/>
    <col min="3" max="3" width="3.42578125" style="1" bestFit="1" customWidth="1"/>
    <col min="4" max="4" width="8.85546875" style="1" bestFit="1" customWidth="1"/>
    <col min="5" max="5" width="5.7109375" style="1" bestFit="1" customWidth="1"/>
    <col min="6" max="6" width="10.85546875" style="1" bestFit="1" customWidth="1"/>
    <col min="7" max="7" width="9.85546875" style="1" bestFit="1" customWidth="1"/>
    <col min="8" max="8" width="10.85546875" style="1" bestFit="1" customWidth="1"/>
    <col min="9" max="9" width="2.140625" style="1" customWidth="1"/>
    <col min="10" max="10" width="15.85546875" style="494" bestFit="1" customWidth="1"/>
    <col min="11" max="11" width="8.85546875" style="495" bestFit="1" customWidth="1"/>
    <col min="12" max="12" width="5.7109375" style="341" bestFit="1" customWidth="1"/>
    <col min="13" max="13" width="10.85546875" style="341" bestFit="1" customWidth="1"/>
    <col min="14" max="14" width="9.85546875" style="341" bestFit="1" customWidth="1"/>
    <col min="15" max="15" width="11.140625" style="341" bestFit="1" customWidth="1"/>
    <col min="16" max="16384" width="11.42578125" style="1"/>
  </cols>
  <sheetData>
    <row r="2" spans="1:15" ht="13.5" thickBot="1" x14ac:dyDescent="0.25">
      <c r="A2" s="914" t="s">
        <v>249</v>
      </c>
      <c r="B2" s="914"/>
      <c r="C2" s="914"/>
      <c r="D2" s="914"/>
      <c r="E2" s="914"/>
      <c r="F2" s="914"/>
      <c r="G2" s="914"/>
      <c r="H2" s="914"/>
      <c r="I2" s="451"/>
      <c r="J2" s="194" t="s">
        <v>604</v>
      </c>
      <c r="K2" s="455" t="s">
        <v>605</v>
      </c>
      <c r="L2" s="456" t="s">
        <v>606</v>
      </c>
      <c r="M2" s="456" t="s">
        <v>607</v>
      </c>
      <c r="N2" s="456" t="s">
        <v>572</v>
      </c>
      <c r="O2" s="456" t="s">
        <v>608</v>
      </c>
    </row>
    <row r="3" spans="1:15" x14ac:dyDescent="0.2">
      <c r="A3" s="458">
        <v>43405</v>
      </c>
      <c r="B3" s="459" t="s">
        <v>266</v>
      </c>
      <c r="C3" s="460" t="s">
        <v>167</v>
      </c>
      <c r="D3" s="461">
        <v>11270</v>
      </c>
      <c r="E3" s="462">
        <v>4.3</v>
      </c>
      <c r="F3" s="462">
        <f>+D3*E3</f>
        <v>48461</v>
      </c>
      <c r="G3" s="462">
        <f>+F3*0.19</f>
        <v>9207.59</v>
      </c>
      <c r="H3" s="463">
        <f>+F3+G3</f>
        <v>57668.59</v>
      </c>
      <c r="I3" s="272"/>
      <c r="J3" s="1016" t="s">
        <v>266</v>
      </c>
      <c r="K3" s="1019">
        <f>D15*4.3/4.5</f>
        <v>48260.333333333336</v>
      </c>
      <c r="L3" s="1022">
        <v>4.5</v>
      </c>
      <c r="M3" s="1022">
        <f>+K3*L3</f>
        <v>217171.5</v>
      </c>
      <c r="N3" s="1022">
        <f>+M3*0.19</f>
        <v>41262.584999999999</v>
      </c>
      <c r="O3" s="1025">
        <f>+M3+N3+0.6</f>
        <v>258434.685</v>
      </c>
    </row>
    <row r="4" spans="1:15" x14ac:dyDescent="0.2">
      <c r="A4" s="464">
        <v>43409</v>
      </c>
      <c r="B4" s="465" t="s">
        <v>266</v>
      </c>
      <c r="C4" s="466" t="s">
        <v>167</v>
      </c>
      <c r="D4" s="467">
        <v>6205</v>
      </c>
      <c r="E4" s="468">
        <v>4.3</v>
      </c>
      <c r="F4" s="468">
        <f>+D4*E4</f>
        <v>26681.5</v>
      </c>
      <c r="G4" s="468">
        <f>+F4*0.19</f>
        <v>5069.4849999999997</v>
      </c>
      <c r="H4" s="469">
        <f>+F4+G4</f>
        <v>31750.985000000001</v>
      </c>
      <c r="I4" s="272"/>
      <c r="J4" s="1017"/>
      <c r="K4" s="1020"/>
      <c r="L4" s="1023"/>
      <c r="M4" s="1023"/>
      <c r="N4" s="1023"/>
      <c r="O4" s="1026"/>
    </row>
    <row r="5" spans="1:15" x14ac:dyDescent="0.2">
      <c r="A5" s="464">
        <v>43412</v>
      </c>
      <c r="B5" s="465" t="s">
        <v>266</v>
      </c>
      <c r="C5" s="466" t="s">
        <v>167</v>
      </c>
      <c r="D5" s="467">
        <v>1414</v>
      </c>
      <c r="E5" s="468">
        <v>4.3</v>
      </c>
      <c r="F5" s="468">
        <f t="shared" ref="F5:F32" si="0">+D5*E5</f>
        <v>6080.2</v>
      </c>
      <c r="G5" s="468">
        <f t="shared" ref="G5:G32" si="1">+F5*0.19</f>
        <v>1155.2380000000001</v>
      </c>
      <c r="H5" s="469">
        <f t="shared" ref="H5:H32" si="2">+F5+G5</f>
        <v>7235.4380000000001</v>
      </c>
      <c r="I5" s="272"/>
      <c r="J5" s="1017"/>
      <c r="K5" s="1020"/>
      <c r="L5" s="1023"/>
      <c r="M5" s="1023"/>
      <c r="N5" s="1023"/>
      <c r="O5" s="1026"/>
    </row>
    <row r="6" spans="1:15" x14ac:dyDescent="0.2">
      <c r="A6" s="464">
        <v>43416</v>
      </c>
      <c r="B6" s="465" t="s">
        <v>266</v>
      </c>
      <c r="C6" s="466" t="s">
        <v>167</v>
      </c>
      <c r="D6" s="467">
        <v>1454</v>
      </c>
      <c r="E6" s="468">
        <v>4.3</v>
      </c>
      <c r="F6" s="468">
        <f t="shared" si="0"/>
        <v>6252.2</v>
      </c>
      <c r="G6" s="468">
        <f t="shared" si="1"/>
        <v>1187.9179999999999</v>
      </c>
      <c r="H6" s="469">
        <f t="shared" si="2"/>
        <v>7440.1179999999995</v>
      </c>
      <c r="I6" s="272"/>
      <c r="J6" s="1017"/>
      <c r="K6" s="1020"/>
      <c r="L6" s="1023"/>
      <c r="M6" s="1023"/>
      <c r="N6" s="1023"/>
      <c r="O6" s="1026"/>
    </row>
    <row r="7" spans="1:15" x14ac:dyDescent="0.2">
      <c r="A7" s="464">
        <v>43419</v>
      </c>
      <c r="B7" s="465" t="s">
        <v>266</v>
      </c>
      <c r="C7" s="466" t="s">
        <v>167</v>
      </c>
      <c r="D7" s="467">
        <v>3998</v>
      </c>
      <c r="E7" s="468">
        <v>4.3</v>
      </c>
      <c r="F7" s="468">
        <f t="shared" si="0"/>
        <v>17191.399999999998</v>
      </c>
      <c r="G7" s="468">
        <f t="shared" si="1"/>
        <v>3266.3659999999995</v>
      </c>
      <c r="H7" s="469">
        <f t="shared" si="2"/>
        <v>20457.765999999996</v>
      </c>
      <c r="I7" s="272"/>
      <c r="J7" s="1017"/>
      <c r="K7" s="1020"/>
      <c r="L7" s="1023"/>
      <c r="M7" s="1023"/>
      <c r="N7" s="1023"/>
      <c r="O7" s="1026"/>
    </row>
    <row r="8" spans="1:15" x14ac:dyDescent="0.2">
      <c r="A8" s="464">
        <v>43420</v>
      </c>
      <c r="B8" s="465" t="s">
        <v>266</v>
      </c>
      <c r="C8" s="466" t="s">
        <v>167</v>
      </c>
      <c r="D8" s="467">
        <v>7286</v>
      </c>
      <c r="E8" s="468">
        <v>4.3</v>
      </c>
      <c r="F8" s="468">
        <f t="shared" si="0"/>
        <v>31329.8</v>
      </c>
      <c r="G8" s="468">
        <f t="shared" si="1"/>
        <v>5952.6620000000003</v>
      </c>
      <c r="H8" s="469">
        <f t="shared" si="2"/>
        <v>37282.462</v>
      </c>
      <c r="I8" s="272"/>
      <c r="J8" s="1017"/>
      <c r="K8" s="1020"/>
      <c r="L8" s="1023"/>
      <c r="M8" s="1023"/>
      <c r="N8" s="1023"/>
      <c r="O8" s="1026"/>
    </row>
    <row r="9" spans="1:15" x14ac:dyDescent="0.2">
      <c r="A9" s="464">
        <v>43423</v>
      </c>
      <c r="B9" s="465" t="s">
        <v>266</v>
      </c>
      <c r="C9" s="466" t="s">
        <v>167</v>
      </c>
      <c r="D9" s="467">
        <v>4510</v>
      </c>
      <c r="E9" s="468">
        <v>4.3</v>
      </c>
      <c r="F9" s="468">
        <f t="shared" si="0"/>
        <v>19393</v>
      </c>
      <c r="G9" s="468">
        <f t="shared" si="1"/>
        <v>3684.67</v>
      </c>
      <c r="H9" s="469">
        <f t="shared" si="2"/>
        <v>23077.67</v>
      </c>
      <c r="I9" s="272"/>
      <c r="J9" s="1017"/>
      <c r="K9" s="1020"/>
      <c r="L9" s="1023"/>
      <c r="M9" s="1023"/>
      <c r="N9" s="1023"/>
      <c r="O9" s="1026"/>
    </row>
    <row r="10" spans="1:15" x14ac:dyDescent="0.2">
      <c r="A10" s="464">
        <v>43427</v>
      </c>
      <c r="B10" s="465" t="s">
        <v>266</v>
      </c>
      <c r="C10" s="466" t="s">
        <v>167</v>
      </c>
      <c r="D10" s="467">
        <v>1929</v>
      </c>
      <c r="E10" s="468">
        <v>4.3</v>
      </c>
      <c r="F10" s="468">
        <f t="shared" si="0"/>
        <v>8294.6999999999989</v>
      </c>
      <c r="G10" s="468">
        <f t="shared" si="1"/>
        <v>1575.9929999999997</v>
      </c>
      <c r="H10" s="469">
        <f t="shared" si="2"/>
        <v>9870.6929999999993</v>
      </c>
      <c r="I10" s="272"/>
      <c r="J10" s="1017"/>
      <c r="K10" s="1020"/>
      <c r="L10" s="1023"/>
      <c r="M10" s="1023"/>
      <c r="N10" s="1023"/>
      <c r="O10" s="1026"/>
    </row>
    <row r="11" spans="1:15" x14ac:dyDescent="0.2">
      <c r="A11" s="464">
        <v>43430</v>
      </c>
      <c r="B11" s="465" t="s">
        <v>266</v>
      </c>
      <c r="C11" s="466" t="s">
        <v>167</v>
      </c>
      <c r="D11" s="467">
        <v>3913</v>
      </c>
      <c r="E11" s="468">
        <v>4.3</v>
      </c>
      <c r="F11" s="468">
        <f t="shared" si="0"/>
        <v>16825.899999999998</v>
      </c>
      <c r="G11" s="468">
        <f t="shared" si="1"/>
        <v>3196.9209999999998</v>
      </c>
      <c r="H11" s="469">
        <f t="shared" si="2"/>
        <v>20022.820999999996</v>
      </c>
      <c r="I11" s="272"/>
      <c r="J11" s="1017"/>
      <c r="K11" s="1020"/>
      <c r="L11" s="1023"/>
      <c r="M11" s="1023"/>
      <c r="N11" s="1023"/>
      <c r="O11" s="1026"/>
    </row>
    <row r="12" spans="1:15" x14ac:dyDescent="0.2">
      <c r="A12" s="464">
        <v>43431</v>
      </c>
      <c r="B12" s="465" t="s">
        <v>266</v>
      </c>
      <c r="C12" s="466" t="s">
        <v>167</v>
      </c>
      <c r="D12" s="467">
        <v>2297</v>
      </c>
      <c r="E12" s="468">
        <v>4.3</v>
      </c>
      <c r="F12" s="468">
        <f t="shared" si="0"/>
        <v>9877.1</v>
      </c>
      <c r="G12" s="468">
        <f t="shared" si="1"/>
        <v>1876.6490000000001</v>
      </c>
      <c r="H12" s="469">
        <f t="shared" si="2"/>
        <v>11753.749</v>
      </c>
      <c r="I12" s="272"/>
      <c r="J12" s="1017"/>
      <c r="K12" s="1020"/>
      <c r="L12" s="1023"/>
      <c r="M12" s="1023"/>
      <c r="N12" s="1023"/>
      <c r="O12" s="1026"/>
    </row>
    <row r="13" spans="1:15" x14ac:dyDescent="0.2">
      <c r="A13" s="464">
        <v>43432</v>
      </c>
      <c r="B13" s="465" t="s">
        <v>266</v>
      </c>
      <c r="C13" s="466" t="s">
        <v>167</v>
      </c>
      <c r="D13" s="467">
        <f>2255+2296</f>
        <v>4551</v>
      </c>
      <c r="E13" s="468">
        <v>4.3</v>
      </c>
      <c r="F13" s="468">
        <f t="shared" si="0"/>
        <v>19569.3</v>
      </c>
      <c r="G13" s="468">
        <f t="shared" si="1"/>
        <v>3718.1669999999999</v>
      </c>
      <c r="H13" s="469">
        <f t="shared" si="2"/>
        <v>23287.467000000001</v>
      </c>
      <c r="I13" s="272"/>
      <c r="J13" s="1017"/>
      <c r="K13" s="1020"/>
      <c r="L13" s="1023"/>
      <c r="M13" s="1023"/>
      <c r="N13" s="1023"/>
      <c r="O13" s="1026"/>
    </row>
    <row r="14" spans="1:15" ht="13.5" thickBot="1" x14ac:dyDescent="0.25">
      <c r="A14" s="470">
        <v>43433</v>
      </c>
      <c r="B14" s="471" t="s">
        <v>266</v>
      </c>
      <c r="C14" s="472" t="s">
        <v>167</v>
      </c>
      <c r="D14" s="473">
        <v>1678</v>
      </c>
      <c r="E14" s="474">
        <v>4.3</v>
      </c>
      <c r="F14" s="474">
        <f t="shared" si="0"/>
        <v>7215.4</v>
      </c>
      <c r="G14" s="474">
        <f t="shared" si="1"/>
        <v>1370.9259999999999</v>
      </c>
      <c r="H14" s="475">
        <f t="shared" si="2"/>
        <v>8586.3259999999991</v>
      </c>
      <c r="I14" s="272"/>
      <c r="J14" s="1018"/>
      <c r="K14" s="1021"/>
      <c r="L14" s="1024"/>
      <c r="M14" s="1024"/>
      <c r="N14" s="1024"/>
      <c r="O14" s="1027"/>
    </row>
    <row r="15" spans="1:15" ht="13.5" thickBot="1" x14ac:dyDescent="0.25">
      <c r="A15" s="269"/>
      <c r="B15" s="266"/>
      <c r="C15" s="270"/>
      <c r="D15" s="476">
        <f>SUM(D3:D14)</f>
        <v>50505</v>
      </c>
      <c r="E15" s="425"/>
      <c r="F15" s="477">
        <f>SUM(F3:F14)</f>
        <v>217171.49999999997</v>
      </c>
      <c r="G15" s="478">
        <f t="shared" si="1"/>
        <v>41262.584999999992</v>
      </c>
      <c r="H15" s="479">
        <f t="shared" si="2"/>
        <v>258434.08499999996</v>
      </c>
      <c r="I15" s="272"/>
      <c r="J15" s="452"/>
      <c r="K15" s="480">
        <f>SUM(K3)</f>
        <v>48260.333333333336</v>
      </c>
      <c r="L15" s="457"/>
      <c r="M15" s="481">
        <f>SUM(M3)</f>
        <v>217171.5</v>
      </c>
      <c r="N15" s="482">
        <f>SUM(N3)</f>
        <v>41262.584999999999</v>
      </c>
      <c r="O15" s="483">
        <f>SUM(O3)</f>
        <v>258434.685</v>
      </c>
    </row>
    <row r="16" spans="1:15" ht="13.5" thickBot="1" x14ac:dyDescent="0.25">
      <c r="A16" s="269"/>
      <c r="B16" s="266"/>
      <c r="C16" s="270"/>
      <c r="D16" s="271"/>
      <c r="E16" s="272"/>
      <c r="F16" s="272"/>
      <c r="G16" s="272"/>
      <c r="H16" s="272"/>
      <c r="I16" s="272"/>
      <c r="J16" s="452"/>
      <c r="K16" s="453"/>
      <c r="L16" s="454"/>
      <c r="M16" s="454"/>
      <c r="N16" s="454"/>
      <c r="O16" s="454"/>
    </row>
    <row r="17" spans="1:15" ht="13.5" thickBot="1" x14ac:dyDescent="0.25">
      <c r="A17" s="488">
        <v>43418</v>
      </c>
      <c r="B17" s="493" t="s">
        <v>174</v>
      </c>
      <c r="C17" s="489" t="s">
        <v>167</v>
      </c>
      <c r="D17" s="490">
        <v>41220</v>
      </c>
      <c r="E17" s="491">
        <v>1.8</v>
      </c>
      <c r="F17" s="491">
        <f t="shared" si="0"/>
        <v>74196</v>
      </c>
      <c r="G17" s="491">
        <f t="shared" si="1"/>
        <v>14097.24</v>
      </c>
      <c r="H17" s="492">
        <f t="shared" si="2"/>
        <v>88293.24</v>
      </c>
      <c r="I17" s="272"/>
      <c r="J17" s="484" t="s">
        <v>580</v>
      </c>
      <c r="K17" s="485">
        <f>+D17*E17/L17</f>
        <v>47868.38709677419</v>
      </c>
      <c r="L17" s="486">
        <v>1.55</v>
      </c>
      <c r="M17" s="486">
        <f>+K17*L17</f>
        <v>74196</v>
      </c>
      <c r="N17" s="486">
        <f>+M17*0.19</f>
        <v>14097.24</v>
      </c>
      <c r="O17" s="487">
        <f>+M17+N17+0.6</f>
        <v>88293.840000000011</v>
      </c>
    </row>
    <row r="18" spans="1:15" x14ac:dyDescent="0.2">
      <c r="A18" s="269"/>
      <c r="B18" s="266"/>
      <c r="C18" s="270"/>
      <c r="D18" s="271"/>
      <c r="E18" s="272"/>
      <c r="F18" s="272"/>
      <c r="G18" s="272"/>
      <c r="H18" s="272"/>
      <c r="I18" s="272"/>
      <c r="J18" s="452"/>
      <c r="K18" s="453"/>
      <c r="L18" s="454"/>
      <c r="M18" s="454"/>
      <c r="N18" s="454"/>
      <c r="O18" s="454"/>
    </row>
    <row r="19" spans="1:15" ht="13.5" thickBot="1" x14ac:dyDescent="0.25">
      <c r="A19" s="269"/>
      <c r="B19" s="266"/>
      <c r="C19" s="270"/>
      <c r="D19" s="271"/>
      <c r="E19" s="272"/>
      <c r="F19" s="272"/>
      <c r="G19" s="272"/>
      <c r="H19" s="272"/>
      <c r="I19" s="272"/>
      <c r="J19" s="452"/>
      <c r="K19" s="453"/>
      <c r="L19" s="454"/>
      <c r="M19" s="454"/>
      <c r="N19" s="454"/>
      <c r="O19" s="454"/>
    </row>
    <row r="20" spans="1:15" ht="13.5" thickBot="1" x14ac:dyDescent="0.25">
      <c r="A20" s="488">
        <v>43420</v>
      </c>
      <c r="B20" s="493" t="s">
        <v>590</v>
      </c>
      <c r="C20" s="489" t="s">
        <v>167</v>
      </c>
      <c r="D20" s="490">
        <v>2857</v>
      </c>
      <c r="E20" s="491">
        <v>33</v>
      </c>
      <c r="F20" s="491">
        <f t="shared" si="0"/>
        <v>94281</v>
      </c>
      <c r="G20" s="491">
        <f t="shared" si="1"/>
        <v>17913.39</v>
      </c>
      <c r="H20" s="492">
        <f t="shared" si="2"/>
        <v>112194.39</v>
      </c>
      <c r="I20" s="272"/>
      <c r="J20" s="484" t="s">
        <v>590</v>
      </c>
      <c r="K20" s="485">
        <f>+D20*E20/L20</f>
        <v>2417.4615384615386</v>
      </c>
      <c r="L20" s="486">
        <v>39</v>
      </c>
      <c r="M20" s="486">
        <f>+K20*L20</f>
        <v>94281</v>
      </c>
      <c r="N20" s="486">
        <f>+M20*0.19</f>
        <v>17913.39</v>
      </c>
      <c r="O20" s="487">
        <f>+M20+N20+0.6</f>
        <v>112194.99</v>
      </c>
    </row>
    <row r="21" spans="1:15" x14ac:dyDescent="0.2">
      <c r="A21" s="269"/>
      <c r="B21" s="266"/>
      <c r="C21" s="270"/>
      <c r="D21" s="271"/>
      <c r="E21" s="272"/>
      <c r="F21" s="272"/>
      <c r="G21" s="272"/>
      <c r="H21" s="272"/>
      <c r="I21" s="272"/>
      <c r="J21" s="452"/>
      <c r="K21" s="453"/>
      <c r="L21" s="454"/>
      <c r="M21" s="454"/>
      <c r="N21" s="454"/>
      <c r="O21" s="454"/>
    </row>
    <row r="22" spans="1:15" ht="13.5" thickBot="1" x14ac:dyDescent="0.25">
      <c r="A22" s="269"/>
      <c r="B22" s="266"/>
      <c r="C22" s="270"/>
      <c r="D22" s="271"/>
      <c r="E22" s="272"/>
      <c r="F22" s="272"/>
      <c r="G22" s="272"/>
      <c r="H22" s="272"/>
      <c r="I22" s="272"/>
      <c r="J22" s="452"/>
      <c r="K22" s="453"/>
      <c r="L22" s="454"/>
      <c r="M22" s="454"/>
      <c r="N22" s="454"/>
      <c r="O22" s="454"/>
    </row>
    <row r="23" spans="1:15" ht="13.5" thickBot="1" x14ac:dyDescent="0.25">
      <c r="A23" s="488">
        <v>43433</v>
      </c>
      <c r="B23" s="493" t="s">
        <v>597</v>
      </c>
      <c r="C23" s="489" t="s">
        <v>167</v>
      </c>
      <c r="D23" s="490">
        <v>27880</v>
      </c>
      <c r="E23" s="491">
        <v>1.45</v>
      </c>
      <c r="F23" s="491">
        <f t="shared" si="0"/>
        <v>40426</v>
      </c>
      <c r="G23" s="491">
        <f t="shared" si="1"/>
        <v>7680.9400000000005</v>
      </c>
      <c r="H23" s="492">
        <f t="shared" si="2"/>
        <v>48106.94</v>
      </c>
      <c r="I23" s="272"/>
      <c r="J23" s="484" t="s">
        <v>609</v>
      </c>
      <c r="K23" s="485">
        <f>+D23*E23/1.95</f>
        <v>20731.282051282051</v>
      </c>
      <c r="L23" s="486">
        <v>1.95</v>
      </c>
      <c r="M23" s="486">
        <f>+K23*L23</f>
        <v>40426</v>
      </c>
      <c r="N23" s="486">
        <f>+M23*0.19</f>
        <v>7680.9400000000005</v>
      </c>
      <c r="O23" s="487">
        <f>+M23+N23+0.6</f>
        <v>48107.54</v>
      </c>
    </row>
    <row r="24" spans="1:15" x14ac:dyDescent="0.2">
      <c r="A24" s="269"/>
      <c r="B24" s="266"/>
      <c r="C24" s="270"/>
      <c r="D24" s="271"/>
      <c r="E24" s="272"/>
      <c r="F24" s="272"/>
      <c r="G24" s="272"/>
      <c r="H24" s="272"/>
      <c r="I24" s="272"/>
      <c r="J24" s="452"/>
      <c r="K24" s="453"/>
      <c r="L24" s="454"/>
      <c r="M24" s="454"/>
      <c r="N24" s="454"/>
      <c r="O24" s="454"/>
    </row>
    <row r="25" spans="1:15" ht="13.5" thickBot="1" x14ac:dyDescent="0.25">
      <c r="A25" s="269"/>
      <c r="B25" s="266"/>
      <c r="C25" s="270"/>
      <c r="D25" s="271"/>
      <c r="E25" s="272"/>
      <c r="F25" s="272"/>
      <c r="G25" s="272"/>
      <c r="H25" s="272"/>
      <c r="I25" s="272"/>
      <c r="J25" s="452"/>
      <c r="K25" s="453"/>
      <c r="L25" s="454"/>
      <c r="M25" s="454"/>
      <c r="N25" s="454"/>
      <c r="O25" s="454"/>
    </row>
    <row r="26" spans="1:15" x14ac:dyDescent="0.2">
      <c r="A26" s="458">
        <v>43435</v>
      </c>
      <c r="B26" s="459" t="s">
        <v>266</v>
      </c>
      <c r="C26" s="460" t="s">
        <v>167</v>
      </c>
      <c r="D26" s="461">
        <v>1996</v>
      </c>
      <c r="E26" s="462">
        <v>4.3</v>
      </c>
      <c r="F26" s="462">
        <f>+D26*E26</f>
        <v>8582.7999999999993</v>
      </c>
      <c r="G26" s="462">
        <f>+F26*0.19</f>
        <v>1630.732</v>
      </c>
      <c r="H26" s="463">
        <f>+F26+G26</f>
        <v>10213.531999999999</v>
      </c>
      <c r="I26" s="272"/>
      <c r="J26" s="1028" t="s">
        <v>266</v>
      </c>
      <c r="K26" s="1007">
        <f>(D26+D27+D28+D29+D30+D31+D32+D33)*E26/L26</f>
        <v>27153.066666666666</v>
      </c>
      <c r="L26" s="1032">
        <v>4.5</v>
      </c>
      <c r="M26" s="1032">
        <f>+K26*L26</f>
        <v>122188.79999999999</v>
      </c>
      <c r="N26" s="1032">
        <f>+M26*0.19</f>
        <v>23215.871999999999</v>
      </c>
      <c r="O26" s="1035">
        <f>+M26+N26+0.6</f>
        <v>145405.272</v>
      </c>
    </row>
    <row r="27" spans="1:15" ht="15" customHeight="1" x14ac:dyDescent="0.2">
      <c r="A27" s="464">
        <v>43437</v>
      </c>
      <c r="B27" s="465" t="s">
        <v>266</v>
      </c>
      <c r="C27" s="466" t="s">
        <v>167</v>
      </c>
      <c r="D27" s="467">
        <f>4417+3827</f>
        <v>8244</v>
      </c>
      <c r="E27" s="468">
        <v>4.3</v>
      </c>
      <c r="F27" s="468">
        <f>+D27*E27</f>
        <v>35449.199999999997</v>
      </c>
      <c r="G27" s="468">
        <f>+F27*0.19</f>
        <v>6735.348</v>
      </c>
      <c r="H27" s="469">
        <f>+F27+G27</f>
        <v>42184.547999999995</v>
      </c>
      <c r="I27" s="272"/>
      <c r="J27" s="1029"/>
      <c r="K27" s="1008"/>
      <c r="L27" s="1033"/>
      <c r="M27" s="1033"/>
      <c r="N27" s="1033"/>
      <c r="O27" s="1036"/>
    </row>
    <row r="28" spans="1:15" ht="15" customHeight="1" x14ac:dyDescent="0.2">
      <c r="A28" s="464">
        <v>43438</v>
      </c>
      <c r="B28" s="465" t="s">
        <v>266</v>
      </c>
      <c r="C28" s="466" t="s">
        <v>167</v>
      </c>
      <c r="D28" s="467">
        <v>2291</v>
      </c>
      <c r="E28" s="468">
        <v>4.3</v>
      </c>
      <c r="F28" s="468">
        <f t="shared" si="0"/>
        <v>9851.2999999999993</v>
      </c>
      <c r="G28" s="468">
        <f t="shared" si="1"/>
        <v>1871.7469999999998</v>
      </c>
      <c r="H28" s="469">
        <f t="shared" si="2"/>
        <v>11723.046999999999</v>
      </c>
      <c r="I28" s="272"/>
      <c r="J28" s="1029"/>
      <c r="K28" s="1008"/>
      <c r="L28" s="1033"/>
      <c r="M28" s="1033"/>
      <c r="N28" s="1033"/>
      <c r="O28" s="1036"/>
    </row>
    <row r="29" spans="1:15" ht="15.75" customHeight="1" x14ac:dyDescent="0.2">
      <c r="A29" s="464">
        <v>43439</v>
      </c>
      <c r="B29" s="465" t="s">
        <v>266</v>
      </c>
      <c r="C29" s="466" t="s">
        <v>167</v>
      </c>
      <c r="D29" s="467">
        <v>2225</v>
      </c>
      <c r="E29" s="468">
        <v>4.3</v>
      </c>
      <c r="F29" s="468">
        <f t="shared" si="0"/>
        <v>9567.5</v>
      </c>
      <c r="G29" s="468">
        <f t="shared" si="1"/>
        <v>1817.825</v>
      </c>
      <c r="H29" s="469">
        <f t="shared" si="2"/>
        <v>11385.325000000001</v>
      </c>
      <c r="I29" s="272"/>
      <c r="J29" s="1029"/>
      <c r="K29" s="1008"/>
      <c r="L29" s="1033"/>
      <c r="M29" s="1033"/>
      <c r="N29" s="1033"/>
      <c r="O29" s="1036"/>
    </row>
    <row r="30" spans="1:15" ht="15.75" customHeight="1" x14ac:dyDescent="0.2">
      <c r="A30" s="464">
        <v>43440</v>
      </c>
      <c r="B30" s="465" t="s">
        <v>266</v>
      </c>
      <c r="C30" s="466" t="s">
        <v>167</v>
      </c>
      <c r="D30" s="467">
        <v>1674</v>
      </c>
      <c r="E30" s="468">
        <v>4.3</v>
      </c>
      <c r="F30" s="468">
        <f t="shared" si="0"/>
        <v>7198.2</v>
      </c>
      <c r="G30" s="468">
        <f t="shared" si="1"/>
        <v>1367.6579999999999</v>
      </c>
      <c r="H30" s="469">
        <f t="shared" si="2"/>
        <v>8565.8580000000002</v>
      </c>
      <c r="I30" s="272"/>
      <c r="J30" s="1029"/>
      <c r="K30" s="1008"/>
      <c r="L30" s="1033"/>
      <c r="M30" s="1033"/>
      <c r="N30" s="1033"/>
      <c r="O30" s="1036"/>
    </row>
    <row r="31" spans="1:15" ht="15.75" customHeight="1" x14ac:dyDescent="0.2">
      <c r="A31" s="464">
        <v>43441</v>
      </c>
      <c r="B31" s="465" t="s">
        <v>266</v>
      </c>
      <c r="C31" s="466" t="s">
        <v>167</v>
      </c>
      <c r="D31" s="467">
        <v>2525</v>
      </c>
      <c r="E31" s="468">
        <v>4.3</v>
      </c>
      <c r="F31" s="468">
        <f t="shared" si="0"/>
        <v>10857.5</v>
      </c>
      <c r="G31" s="468">
        <f t="shared" si="1"/>
        <v>2062.9250000000002</v>
      </c>
      <c r="H31" s="469">
        <f t="shared" si="2"/>
        <v>12920.424999999999</v>
      </c>
      <c r="I31" s="272"/>
      <c r="J31" s="1029"/>
      <c r="K31" s="1008"/>
      <c r="L31" s="1033"/>
      <c r="M31" s="1033"/>
      <c r="N31" s="1033"/>
      <c r="O31" s="1036"/>
    </row>
    <row r="32" spans="1:15" ht="15.75" customHeight="1" x14ac:dyDescent="0.2">
      <c r="A32" s="464">
        <v>43442</v>
      </c>
      <c r="B32" s="465" t="s">
        <v>266</v>
      </c>
      <c r="C32" s="466" t="s">
        <v>167</v>
      </c>
      <c r="D32" s="467">
        <v>2020</v>
      </c>
      <c r="E32" s="468">
        <v>4.3</v>
      </c>
      <c r="F32" s="468">
        <f t="shared" si="0"/>
        <v>8686</v>
      </c>
      <c r="G32" s="468">
        <f t="shared" si="1"/>
        <v>1650.34</v>
      </c>
      <c r="H32" s="469">
        <f t="shared" si="2"/>
        <v>10336.34</v>
      </c>
      <c r="I32" s="272"/>
      <c r="J32" s="1029"/>
      <c r="K32" s="1008"/>
      <c r="L32" s="1033"/>
      <c r="M32" s="1033"/>
      <c r="N32" s="1033"/>
      <c r="O32" s="1036"/>
    </row>
    <row r="33" spans="1:15" ht="15.75" customHeight="1" thickBot="1" x14ac:dyDescent="0.25">
      <c r="A33" s="470">
        <v>43444</v>
      </c>
      <c r="B33" s="471" t="s">
        <v>266</v>
      </c>
      <c r="C33" s="472" t="s">
        <v>167</v>
      </c>
      <c r="D33" s="473">
        <f>3461+3980</f>
        <v>7441</v>
      </c>
      <c r="E33" s="474">
        <v>4.3</v>
      </c>
      <c r="F33" s="474">
        <f>+D33*E33</f>
        <v>31996.3</v>
      </c>
      <c r="G33" s="474">
        <f>+F33*0.19</f>
        <v>6079.2969999999996</v>
      </c>
      <c r="H33" s="475">
        <f>+F33+G33</f>
        <v>38075.597000000002</v>
      </c>
      <c r="I33" s="272"/>
      <c r="J33" s="1030"/>
      <c r="K33" s="1031"/>
      <c r="L33" s="1034"/>
      <c r="M33" s="1034"/>
      <c r="N33" s="1034"/>
      <c r="O33" s="1037"/>
    </row>
    <row r="34" spans="1:15" ht="13.5" thickBot="1" x14ac:dyDescent="0.25">
      <c r="A34" s="15"/>
      <c r="B34" s="15"/>
      <c r="C34" s="15"/>
      <c r="D34" s="498">
        <f>SUM(D26:D33)</f>
        <v>28416</v>
      </c>
      <c r="E34" s="15"/>
      <c r="F34" s="499">
        <f>SUM(F26:F33)</f>
        <v>122188.8</v>
      </c>
      <c r="G34" s="499">
        <f>SUM(G26:G33)</f>
        <v>23215.871999999999</v>
      </c>
      <c r="H34" s="499">
        <f>SUM(H26:H33)</f>
        <v>145404.67199999999</v>
      </c>
      <c r="I34" s="15"/>
      <c r="J34" s="452"/>
      <c r="K34" s="500">
        <f>SUM(K26)</f>
        <v>27153.066666666666</v>
      </c>
      <c r="L34" s="454"/>
      <c r="M34" s="501">
        <f>SUM(M26)</f>
        <v>122188.79999999999</v>
      </c>
      <c r="N34" s="496">
        <f>SUM(N26)</f>
        <v>23215.871999999999</v>
      </c>
      <c r="O34" s="497">
        <f>SUM(O26)</f>
        <v>145405.272</v>
      </c>
    </row>
    <row r="35" spans="1:15" x14ac:dyDescent="0.2">
      <c r="A35" s="15"/>
      <c r="B35" s="15"/>
      <c r="C35" s="15"/>
      <c r="D35" s="15"/>
      <c r="E35" s="15"/>
      <c r="F35" s="15"/>
      <c r="G35" s="15"/>
      <c r="H35" s="15"/>
      <c r="I35" s="15"/>
      <c r="J35" s="452"/>
      <c r="K35" s="453"/>
      <c r="L35" s="454"/>
      <c r="M35" s="454"/>
      <c r="N35" s="454"/>
      <c r="O35" s="454"/>
    </row>
    <row r="36" spans="1:15" x14ac:dyDescent="0.2">
      <c r="J36" s="452"/>
      <c r="K36" s="453"/>
      <c r="L36" s="454"/>
      <c r="M36" s="454"/>
      <c r="N36" s="454"/>
      <c r="O36" s="454"/>
    </row>
    <row r="38" spans="1:15" x14ac:dyDescent="0.2">
      <c r="C38" s="450"/>
      <c r="D38" s="432"/>
      <c r="E38" s="270"/>
    </row>
    <row r="39" spans="1:15" x14ac:dyDescent="0.2">
      <c r="C39" s="266"/>
      <c r="D39" s="432"/>
      <c r="E39" s="270"/>
    </row>
    <row r="40" spans="1:15" x14ac:dyDescent="0.2">
      <c r="C40" s="450"/>
      <c r="D40" s="432"/>
      <c r="E40" s="270"/>
    </row>
    <row r="41" spans="1:15" x14ac:dyDescent="0.2">
      <c r="C41" s="266"/>
      <c r="D41" s="432"/>
      <c r="E41" s="270"/>
    </row>
    <row r="42" spans="1:15" x14ac:dyDescent="0.2">
      <c r="C42" s="266"/>
      <c r="D42" s="432"/>
      <c r="E42" s="270"/>
    </row>
  </sheetData>
  <mergeCells count="13">
    <mergeCell ref="O3:O14"/>
    <mergeCell ref="N3:N14"/>
    <mergeCell ref="J26:J33"/>
    <mergeCell ref="K26:K33"/>
    <mergeCell ref="L26:L33"/>
    <mergeCell ref="M26:M33"/>
    <mergeCell ref="N26:N33"/>
    <mergeCell ref="O26:O33"/>
    <mergeCell ref="A2:H2"/>
    <mergeCell ref="J3:J14"/>
    <mergeCell ref="K3:K14"/>
    <mergeCell ref="L3:L14"/>
    <mergeCell ref="M3:M14"/>
  </mergeCells>
  <pageMargins left="0.17" right="0.17" top="0.74803149606299213" bottom="0.74803149606299213" header="0.31496062992125984" footer="0.31496062992125984"/>
  <pageSetup paperSize="9" orientation="landscape" horizontalDpi="180" verticalDpi="18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15"/>
  <sheetViews>
    <sheetView workbookViewId="0">
      <selection activeCell="H27" sqref="H27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17.28515625" bestFit="1" customWidth="1"/>
    <col min="4" max="4" width="3.5703125" bestFit="1" customWidth="1"/>
    <col min="5" max="5" width="8.85546875" bestFit="1" customWidth="1"/>
    <col min="6" max="6" width="5.42578125" bestFit="1" customWidth="1"/>
    <col min="7" max="7" width="11" bestFit="1" customWidth="1"/>
    <col min="8" max="8" width="10" bestFit="1" customWidth="1"/>
    <col min="9" max="9" width="11" bestFit="1" customWidth="1"/>
    <col min="10" max="10" width="8.5703125" bestFit="1" customWidth="1"/>
  </cols>
  <sheetData>
    <row r="1" spans="1:10" x14ac:dyDescent="0.25">
      <c r="A1" s="433"/>
      <c r="B1" s="434"/>
      <c r="C1" s="15"/>
      <c r="D1" s="263"/>
      <c r="E1" s="437" t="s">
        <v>574</v>
      </c>
      <c r="F1" s="438"/>
      <c r="G1" s="438" t="s">
        <v>571</v>
      </c>
      <c r="H1" s="438" t="s">
        <v>572</v>
      </c>
      <c r="I1" s="438" t="s">
        <v>573</v>
      </c>
    </row>
    <row r="2" spans="1:10" ht="5.25" customHeight="1" thickBot="1" x14ac:dyDescent="0.3">
      <c r="A2" s="433"/>
      <c r="B2" s="434"/>
      <c r="C2" s="15"/>
      <c r="D2" s="263"/>
      <c r="E2" s="180"/>
      <c r="F2" s="187"/>
      <c r="G2" s="187"/>
      <c r="H2" s="187"/>
      <c r="I2" s="187"/>
    </row>
    <row r="3" spans="1:10" ht="15.75" thickBot="1" x14ac:dyDescent="0.3">
      <c r="A3" s="440">
        <v>43371</v>
      </c>
      <c r="B3" s="441" t="s">
        <v>45</v>
      </c>
      <c r="C3" s="442" t="s">
        <v>174</v>
      </c>
      <c r="D3" s="439" t="s">
        <v>167</v>
      </c>
      <c r="E3" s="443">
        <v>37044</v>
      </c>
      <c r="F3" s="444">
        <v>1.7</v>
      </c>
      <c r="G3" s="444">
        <f>+E3*F3</f>
        <v>62974.799999999996</v>
      </c>
      <c r="H3" s="444">
        <f>+G3*0.19</f>
        <v>11965.212</v>
      </c>
      <c r="I3" s="445">
        <f>+G3+H3+0.6</f>
        <v>74940.611999999994</v>
      </c>
      <c r="J3" t="s">
        <v>596</v>
      </c>
    </row>
    <row r="4" spans="1:10" ht="5.25" customHeight="1" thickBot="1" x14ac:dyDescent="0.3">
      <c r="A4" s="433"/>
      <c r="B4" s="434"/>
      <c r="C4" s="15"/>
      <c r="D4" s="263"/>
      <c r="E4" s="180"/>
      <c r="F4" s="187"/>
      <c r="G4" s="187"/>
      <c r="H4" s="187"/>
      <c r="I4" s="187"/>
    </row>
    <row r="5" spans="1:10" ht="15.75" thickBot="1" x14ac:dyDescent="0.3">
      <c r="A5" s="440">
        <v>43371</v>
      </c>
      <c r="B5" s="441" t="s">
        <v>45</v>
      </c>
      <c r="C5" s="442" t="s">
        <v>174</v>
      </c>
      <c r="D5" s="439" t="s">
        <v>167</v>
      </c>
      <c r="E5" s="443">
        <v>37820</v>
      </c>
      <c r="F5" s="444">
        <v>1.7</v>
      </c>
      <c r="G5" s="444">
        <f>+E5*F5</f>
        <v>64294</v>
      </c>
      <c r="H5" s="444">
        <f>+G5*0.19</f>
        <v>12215.86</v>
      </c>
      <c r="I5" s="445">
        <f>+G5+H5+0.6</f>
        <v>76510.460000000006</v>
      </c>
      <c r="J5" t="s">
        <v>596</v>
      </c>
    </row>
    <row r="6" spans="1:10" ht="5.25" customHeight="1" thickBot="1" x14ac:dyDescent="0.3">
      <c r="A6" s="433"/>
      <c r="B6" s="434"/>
      <c r="C6" s="15"/>
      <c r="D6" s="263"/>
      <c r="E6" s="180"/>
      <c r="F6" s="187"/>
      <c r="G6" s="187"/>
      <c r="H6" s="187"/>
      <c r="I6" s="187"/>
    </row>
    <row r="7" spans="1:10" ht="15.75" thickBot="1" x14ac:dyDescent="0.3">
      <c r="A7" s="440">
        <v>43398</v>
      </c>
      <c r="B7" s="441" t="s">
        <v>45</v>
      </c>
      <c r="C7" s="442" t="s">
        <v>174</v>
      </c>
      <c r="D7" s="439" t="s">
        <v>167</v>
      </c>
      <c r="E7" s="443">
        <v>37960</v>
      </c>
      <c r="F7" s="444">
        <v>1.7</v>
      </c>
      <c r="G7" s="444">
        <f>+E7*F7</f>
        <v>64532</v>
      </c>
      <c r="H7" s="444">
        <f>+G7*0.19</f>
        <v>12261.08</v>
      </c>
      <c r="I7" s="445">
        <f>+G7+H7+0.6</f>
        <v>76793.680000000008</v>
      </c>
      <c r="J7" t="s">
        <v>596</v>
      </c>
    </row>
    <row r="8" spans="1:10" ht="5.25" customHeight="1" thickBot="1" x14ac:dyDescent="0.3">
      <c r="A8" s="433"/>
      <c r="B8" s="434"/>
      <c r="C8" s="15"/>
      <c r="D8" s="263"/>
      <c r="E8" s="180"/>
      <c r="F8" s="187"/>
      <c r="G8" s="187"/>
      <c r="H8" s="187"/>
      <c r="I8" s="187"/>
    </row>
    <row r="9" spans="1:10" ht="15.75" thickBot="1" x14ac:dyDescent="0.3">
      <c r="A9" s="440">
        <v>43404</v>
      </c>
      <c r="B9" s="441" t="s">
        <v>45</v>
      </c>
      <c r="C9" s="442" t="s">
        <v>580</v>
      </c>
      <c r="D9" s="439" t="s">
        <v>167</v>
      </c>
      <c r="E9" s="443">
        <v>30225</v>
      </c>
      <c r="F9" s="444">
        <v>1.095</v>
      </c>
      <c r="G9" s="444">
        <f>+E9*F9</f>
        <v>33096.375</v>
      </c>
      <c r="H9" s="444">
        <f>+G9*0.19</f>
        <v>6288.3112499999997</v>
      </c>
      <c r="I9" s="445">
        <f>+G9+H9+0.6</f>
        <v>39385.286249999997</v>
      </c>
      <c r="J9" t="s">
        <v>596</v>
      </c>
    </row>
    <row r="10" spans="1:10" ht="5.25" customHeight="1" thickBot="1" x14ac:dyDescent="0.3">
      <c r="A10" s="433"/>
      <c r="B10" s="434"/>
      <c r="C10" s="15"/>
      <c r="D10" s="263"/>
      <c r="E10" s="180"/>
      <c r="F10" s="187"/>
      <c r="G10" s="187"/>
      <c r="H10" s="187"/>
      <c r="I10" s="187"/>
    </row>
    <row r="11" spans="1:10" ht="15.75" thickBot="1" x14ac:dyDescent="0.3">
      <c r="A11" s="440">
        <v>43416</v>
      </c>
      <c r="B11" s="441" t="s">
        <v>45</v>
      </c>
      <c r="C11" s="442" t="s">
        <v>174</v>
      </c>
      <c r="D11" s="439" t="s">
        <v>167</v>
      </c>
      <c r="E11" s="443">
        <v>35747</v>
      </c>
      <c r="F11" s="444">
        <v>1.75</v>
      </c>
      <c r="G11" s="444">
        <f>+E11*F11</f>
        <v>62557.25</v>
      </c>
      <c r="H11" s="444">
        <f>+G11*0.19</f>
        <v>11885.877500000001</v>
      </c>
      <c r="I11" s="445">
        <f>+G11+H11+0.6</f>
        <v>74443.727500000008</v>
      </c>
      <c r="J11" t="s">
        <v>596</v>
      </c>
    </row>
    <row r="12" spans="1:10" ht="5.25" customHeight="1" thickBot="1" x14ac:dyDescent="0.3"/>
    <row r="13" spans="1:10" ht="15.75" thickBot="1" x14ac:dyDescent="0.3">
      <c r="A13" s="440">
        <v>43403</v>
      </c>
      <c r="B13" s="441" t="s">
        <v>45</v>
      </c>
      <c r="C13" s="442" t="s">
        <v>580</v>
      </c>
      <c r="D13" s="439" t="s">
        <v>167</v>
      </c>
      <c r="E13" s="443">
        <v>10080</v>
      </c>
      <c r="F13" s="444">
        <v>1.2</v>
      </c>
      <c r="G13" s="444">
        <f>+E13*F13*1.01</f>
        <v>12216.960000000001</v>
      </c>
      <c r="H13" s="444">
        <f>+G13*0.19</f>
        <v>2321.2224000000001</v>
      </c>
      <c r="I13" s="445">
        <f>+G13+H13+0.6</f>
        <v>14538.782400000002</v>
      </c>
      <c r="J13" t="s">
        <v>577</v>
      </c>
    </row>
    <row r="14" spans="1:10" ht="5.25" customHeight="1" thickBot="1" x14ac:dyDescent="0.3"/>
    <row r="15" spans="1:10" ht="15.75" thickBot="1" x14ac:dyDescent="0.3">
      <c r="G15" s="446">
        <f>SUM(G2:G13)</f>
        <v>299671.38500000001</v>
      </c>
      <c r="H15" s="447">
        <f>SUM(H2:H13)</f>
        <v>56937.563150000002</v>
      </c>
      <c r="I15" s="448">
        <f>SUM(I2:I13)</f>
        <v>356612.54815000005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42"/>
  <sheetViews>
    <sheetView topLeftCell="A28" zoomScaleNormal="100" workbookViewId="0">
      <selection activeCell="K9" sqref="K9"/>
    </sheetView>
  </sheetViews>
  <sheetFormatPr baseColWidth="10" defaultRowHeight="15" x14ac:dyDescent="0.25"/>
  <cols>
    <col min="1" max="1" width="9.28515625" bestFit="1" customWidth="1"/>
    <col min="2" max="2" width="17" bestFit="1" customWidth="1"/>
    <col min="3" max="3" width="3.42578125" bestFit="1" customWidth="1"/>
    <col min="4" max="4" width="9" bestFit="1" customWidth="1"/>
    <col min="5" max="5" width="5.7109375" bestFit="1" customWidth="1"/>
    <col min="6" max="6" width="11" bestFit="1" customWidth="1"/>
    <col min="7" max="7" width="2.28515625" customWidth="1"/>
    <col min="8" max="8" width="9.28515625" bestFit="1" customWidth="1"/>
    <col min="9" max="9" width="17" bestFit="1" customWidth="1"/>
    <col min="10" max="10" width="3.42578125" bestFit="1" customWidth="1"/>
    <col min="11" max="11" width="9" bestFit="1" customWidth="1"/>
    <col min="12" max="12" width="5.7109375" bestFit="1" customWidth="1"/>
    <col min="13" max="13" width="11" bestFit="1" customWidth="1"/>
    <col min="15" max="17" width="11.42578125" style="28"/>
  </cols>
  <sheetData>
    <row r="1" spans="1:17" ht="15.75" thickBot="1" x14ac:dyDescent="0.3"/>
    <row r="2" spans="1:17" s="71" customFormat="1" x14ac:dyDescent="0.25">
      <c r="A2" s="71" t="s">
        <v>640</v>
      </c>
      <c r="B2" s="71" t="s">
        <v>604</v>
      </c>
      <c r="D2" s="71" t="s">
        <v>605</v>
      </c>
      <c r="E2" s="71" t="s">
        <v>606</v>
      </c>
      <c r="F2" s="71" t="s">
        <v>641</v>
      </c>
      <c r="H2" s="532" t="s">
        <v>640</v>
      </c>
      <c r="I2" s="533" t="s">
        <v>604</v>
      </c>
      <c r="J2" s="533"/>
      <c r="K2" s="533" t="s">
        <v>605</v>
      </c>
      <c r="L2" s="533" t="s">
        <v>606</v>
      </c>
      <c r="M2" s="534" t="s">
        <v>641</v>
      </c>
      <c r="O2" s="530"/>
      <c r="P2" s="530"/>
      <c r="Q2" s="530"/>
    </row>
    <row r="3" spans="1:17" ht="15.75" thickBot="1" x14ac:dyDescent="0.3">
      <c r="A3" s="269">
        <v>43482</v>
      </c>
      <c r="B3" s="266" t="s">
        <v>597</v>
      </c>
      <c r="C3" s="270" t="s">
        <v>167</v>
      </c>
      <c r="D3" s="271">
        <v>31720</v>
      </c>
      <c r="E3" s="272">
        <v>1.45</v>
      </c>
      <c r="F3" s="272">
        <f t="shared" ref="F3:F29" si="0">+D3*E3</f>
        <v>45994</v>
      </c>
      <c r="H3" s="470">
        <v>43496</v>
      </c>
      <c r="I3" s="471" t="s">
        <v>597</v>
      </c>
      <c r="J3" s="472" t="s">
        <v>167</v>
      </c>
      <c r="K3" s="473">
        <f>+F3/1.7</f>
        <v>27055.294117647059</v>
      </c>
      <c r="L3" s="474">
        <v>1.7</v>
      </c>
      <c r="M3" s="475">
        <f>+K3*L3</f>
        <v>45994</v>
      </c>
    </row>
    <row r="4" spans="1:17" ht="15.75" thickBot="1" x14ac:dyDescent="0.3">
      <c r="A4" s="269"/>
      <c r="B4" s="266"/>
      <c r="C4" s="270"/>
      <c r="D4" s="271"/>
      <c r="E4" s="272"/>
      <c r="F4" s="272"/>
      <c r="H4" s="269"/>
      <c r="I4" s="266"/>
      <c r="J4" s="270"/>
      <c r="K4" s="271"/>
      <c r="L4" s="272"/>
      <c r="M4" s="272"/>
    </row>
    <row r="5" spans="1:17" x14ac:dyDescent="0.25">
      <c r="A5" s="269">
        <v>43468</v>
      </c>
      <c r="B5" s="266" t="s">
        <v>174</v>
      </c>
      <c r="C5" s="270" t="s">
        <v>167</v>
      </c>
      <c r="D5" s="271">
        <v>40420</v>
      </c>
      <c r="E5" s="272">
        <v>1.8</v>
      </c>
      <c r="F5" s="272">
        <f t="shared" si="0"/>
        <v>72756</v>
      </c>
      <c r="H5" s="1041">
        <v>43496</v>
      </c>
      <c r="I5" s="459" t="s">
        <v>174</v>
      </c>
      <c r="J5" s="460" t="s">
        <v>167</v>
      </c>
      <c r="K5" s="461">
        <f>+F5/1.9</f>
        <v>38292.631578947374</v>
      </c>
      <c r="L5" s="462">
        <v>1.9</v>
      </c>
      <c r="M5" s="463">
        <f>+K5*L5</f>
        <v>72756</v>
      </c>
    </row>
    <row r="6" spans="1:17" ht="15.75" thickBot="1" x14ac:dyDescent="0.3">
      <c r="A6" s="269">
        <v>43483</v>
      </c>
      <c r="B6" s="266" t="s">
        <v>174</v>
      </c>
      <c r="C6" s="270" t="s">
        <v>167</v>
      </c>
      <c r="D6" s="271">
        <v>42220</v>
      </c>
      <c r="E6" s="272">
        <v>1.8</v>
      </c>
      <c r="F6" s="272">
        <f t="shared" si="0"/>
        <v>75996</v>
      </c>
      <c r="H6" s="1043"/>
      <c r="I6" s="471" t="s">
        <v>174</v>
      </c>
      <c r="J6" s="472" t="s">
        <v>167</v>
      </c>
      <c r="K6" s="473">
        <f>+F6/1.9</f>
        <v>39997.894736842107</v>
      </c>
      <c r="L6" s="474">
        <v>1.9</v>
      </c>
      <c r="M6" s="475">
        <f>+K6*L6</f>
        <v>75996</v>
      </c>
    </row>
    <row r="7" spans="1:17" s="71" customFormat="1" x14ac:dyDescent="0.25">
      <c r="A7" s="434"/>
      <c r="B7" s="267"/>
      <c r="C7" s="268"/>
      <c r="D7" s="531">
        <f>SUM(D5:D6)</f>
        <v>82640</v>
      </c>
      <c r="E7" s="425"/>
      <c r="F7" s="425">
        <f>SUM(F5:F6)</f>
        <v>148752</v>
      </c>
      <c r="H7" s="434"/>
      <c r="I7" s="267"/>
      <c r="J7" s="268"/>
      <c r="K7" s="531">
        <f>SUM(K5:K6)</f>
        <v>78290.526315789481</v>
      </c>
      <c r="L7" s="425"/>
      <c r="M7" s="425">
        <f>SUM(M5:M6)</f>
        <v>148752</v>
      </c>
      <c r="O7" s="530"/>
      <c r="P7" s="530"/>
      <c r="Q7" s="530"/>
    </row>
    <row r="8" spans="1:17" ht="15.75" thickBot="1" x14ac:dyDescent="0.3">
      <c r="A8" s="269"/>
      <c r="B8" s="266"/>
      <c r="C8" s="270"/>
      <c r="D8" s="271"/>
      <c r="E8" s="272"/>
      <c r="F8" s="272"/>
      <c r="H8" s="269"/>
      <c r="I8" s="266"/>
      <c r="J8" s="270"/>
      <c r="K8" s="271"/>
      <c r="L8" s="272"/>
      <c r="M8" s="272"/>
    </row>
    <row r="9" spans="1:17" ht="15.75" thickBot="1" x14ac:dyDescent="0.3">
      <c r="A9" s="433">
        <v>43459</v>
      </c>
      <c r="B9" s="15" t="s">
        <v>590</v>
      </c>
      <c r="C9" s="263" t="s">
        <v>167</v>
      </c>
      <c r="D9" s="180">
        <v>5101</v>
      </c>
      <c r="E9" s="187">
        <v>33</v>
      </c>
      <c r="F9" s="187">
        <f t="shared" si="0"/>
        <v>168333</v>
      </c>
      <c r="H9" s="535">
        <v>43496</v>
      </c>
      <c r="I9" s="298" t="s">
        <v>590</v>
      </c>
      <c r="J9" s="536" t="s">
        <v>167</v>
      </c>
      <c r="K9" s="299">
        <f>+F9/38.5</f>
        <v>4372.2857142857147</v>
      </c>
      <c r="L9" s="300">
        <v>38.5</v>
      </c>
      <c r="M9" s="537">
        <f>+K9*L9</f>
        <v>168333.00000000003</v>
      </c>
    </row>
    <row r="10" spans="1:17" ht="15.75" thickBot="1" x14ac:dyDescent="0.3">
      <c r="A10" s="433"/>
      <c r="B10" s="15"/>
      <c r="C10" s="263"/>
      <c r="D10" s="180"/>
      <c r="E10" s="187"/>
      <c r="F10" s="187"/>
      <c r="H10" s="433"/>
      <c r="I10" s="15"/>
      <c r="J10" s="263"/>
      <c r="K10" s="180"/>
      <c r="L10" s="187"/>
      <c r="M10" s="187"/>
    </row>
    <row r="11" spans="1:17" x14ac:dyDescent="0.25">
      <c r="A11" s="269">
        <v>43445</v>
      </c>
      <c r="B11" s="266" t="s">
        <v>266</v>
      </c>
      <c r="C11" s="270" t="s">
        <v>167</v>
      </c>
      <c r="D11" s="271">
        <v>4491</v>
      </c>
      <c r="E11" s="272">
        <v>4.3</v>
      </c>
      <c r="F11" s="272">
        <f t="shared" si="0"/>
        <v>19311.3</v>
      </c>
      <c r="H11" s="1041">
        <v>43475</v>
      </c>
      <c r="I11" s="459" t="s">
        <v>266</v>
      </c>
      <c r="J11" s="460" t="s">
        <v>167</v>
      </c>
      <c r="K11" s="461">
        <f>+F11/4.5</f>
        <v>4291.3999999999996</v>
      </c>
      <c r="L11" s="462">
        <v>4.5</v>
      </c>
      <c r="M11" s="463">
        <f t="shared" ref="M11:M17" si="1">+K11*L11</f>
        <v>19311.3</v>
      </c>
    </row>
    <row r="12" spans="1:17" x14ac:dyDescent="0.25">
      <c r="A12" s="269">
        <v>43446</v>
      </c>
      <c r="B12" s="266" t="s">
        <v>266</v>
      </c>
      <c r="C12" s="270" t="s">
        <v>167</v>
      </c>
      <c r="D12" s="271">
        <v>1455</v>
      </c>
      <c r="E12" s="272">
        <v>4.3</v>
      </c>
      <c r="F12" s="272">
        <f t="shared" si="0"/>
        <v>6256.5</v>
      </c>
      <c r="H12" s="1042"/>
      <c r="I12" s="465" t="s">
        <v>266</v>
      </c>
      <c r="J12" s="466" t="s">
        <v>167</v>
      </c>
      <c r="K12" s="467">
        <f t="shared" ref="K12:K17" si="2">+F12/4.5</f>
        <v>1390.3333333333333</v>
      </c>
      <c r="L12" s="468">
        <v>4.5</v>
      </c>
      <c r="M12" s="469">
        <f t="shared" si="1"/>
        <v>6256.5</v>
      </c>
    </row>
    <row r="13" spans="1:17" x14ac:dyDescent="0.25">
      <c r="A13" s="269">
        <v>43447</v>
      </c>
      <c r="B13" s="266" t="s">
        <v>266</v>
      </c>
      <c r="C13" s="270" t="s">
        <v>167</v>
      </c>
      <c r="D13" s="271">
        <v>2674</v>
      </c>
      <c r="E13" s="272">
        <v>4.3</v>
      </c>
      <c r="F13" s="272">
        <f t="shared" si="0"/>
        <v>11498.199999999999</v>
      </c>
      <c r="H13" s="1042"/>
      <c r="I13" s="465" t="s">
        <v>266</v>
      </c>
      <c r="J13" s="466" t="s">
        <v>167</v>
      </c>
      <c r="K13" s="467">
        <f t="shared" si="2"/>
        <v>2555.1555555555551</v>
      </c>
      <c r="L13" s="468">
        <v>4.5</v>
      </c>
      <c r="M13" s="469">
        <f t="shared" si="1"/>
        <v>11498.199999999997</v>
      </c>
    </row>
    <row r="14" spans="1:17" x14ac:dyDescent="0.25">
      <c r="A14" s="269">
        <v>43454</v>
      </c>
      <c r="B14" s="266" t="s">
        <v>266</v>
      </c>
      <c r="C14" s="270" t="s">
        <v>167</v>
      </c>
      <c r="D14" s="271">
        <v>4790</v>
      </c>
      <c r="E14" s="272">
        <v>4.3</v>
      </c>
      <c r="F14" s="272">
        <f t="shared" si="0"/>
        <v>20597</v>
      </c>
      <c r="H14" s="1042"/>
      <c r="I14" s="465" t="s">
        <v>266</v>
      </c>
      <c r="J14" s="466" t="s">
        <v>167</v>
      </c>
      <c r="K14" s="467">
        <f t="shared" si="2"/>
        <v>4577.1111111111113</v>
      </c>
      <c r="L14" s="468">
        <v>4.5</v>
      </c>
      <c r="M14" s="469">
        <f t="shared" si="1"/>
        <v>20597</v>
      </c>
    </row>
    <row r="15" spans="1:17" x14ac:dyDescent="0.25">
      <c r="A15" s="269">
        <v>43458</v>
      </c>
      <c r="B15" s="266" t="s">
        <v>266</v>
      </c>
      <c r="C15" s="270" t="s">
        <v>167</v>
      </c>
      <c r="D15" s="271">
        <v>3685</v>
      </c>
      <c r="E15" s="272">
        <v>4.3</v>
      </c>
      <c r="F15" s="272">
        <f t="shared" si="0"/>
        <v>15845.5</v>
      </c>
      <c r="H15" s="1042"/>
      <c r="I15" s="465" t="s">
        <v>266</v>
      </c>
      <c r="J15" s="466" t="s">
        <v>167</v>
      </c>
      <c r="K15" s="467">
        <f t="shared" si="2"/>
        <v>3521.2222222222222</v>
      </c>
      <c r="L15" s="468">
        <v>4.5</v>
      </c>
      <c r="M15" s="469">
        <f t="shared" si="1"/>
        <v>15845.5</v>
      </c>
    </row>
    <row r="16" spans="1:17" x14ac:dyDescent="0.25">
      <c r="A16" s="269">
        <v>43459</v>
      </c>
      <c r="B16" s="266" t="s">
        <v>266</v>
      </c>
      <c r="C16" s="270" t="s">
        <v>167</v>
      </c>
      <c r="D16" s="271">
        <v>3731</v>
      </c>
      <c r="E16" s="272">
        <v>4.3</v>
      </c>
      <c r="F16" s="272">
        <f t="shared" si="0"/>
        <v>16043.3</v>
      </c>
      <c r="H16" s="1042"/>
      <c r="I16" s="465" t="s">
        <v>266</v>
      </c>
      <c r="J16" s="466" t="s">
        <v>167</v>
      </c>
      <c r="K16" s="467">
        <f t="shared" si="2"/>
        <v>3565.1777777777775</v>
      </c>
      <c r="L16" s="468">
        <v>4.5</v>
      </c>
      <c r="M16" s="469">
        <f t="shared" si="1"/>
        <v>16043.3</v>
      </c>
    </row>
    <row r="17" spans="1:17" ht="15.75" thickBot="1" x14ac:dyDescent="0.3">
      <c r="A17" s="269">
        <v>43460</v>
      </c>
      <c r="B17" s="266" t="s">
        <v>266</v>
      </c>
      <c r="C17" s="270" t="s">
        <v>167</v>
      </c>
      <c r="D17" s="271">
        <v>2184</v>
      </c>
      <c r="E17" s="272">
        <v>4.3</v>
      </c>
      <c r="F17" s="272">
        <f t="shared" si="0"/>
        <v>9391.1999999999989</v>
      </c>
      <c r="H17" s="1043"/>
      <c r="I17" s="471" t="s">
        <v>266</v>
      </c>
      <c r="J17" s="472" t="s">
        <v>167</v>
      </c>
      <c r="K17" s="473">
        <f t="shared" si="2"/>
        <v>2086.9333333333329</v>
      </c>
      <c r="L17" s="474">
        <v>4.5</v>
      </c>
      <c r="M17" s="475">
        <f t="shared" si="1"/>
        <v>9391.1999999999989</v>
      </c>
    </row>
    <row r="18" spans="1:17" s="71" customFormat="1" x14ac:dyDescent="0.25">
      <c r="A18" s="434"/>
      <c r="B18" s="267"/>
      <c r="C18" s="268"/>
      <c r="D18" s="531">
        <f>SUM(D11:D17)</f>
        <v>23010</v>
      </c>
      <c r="E18" s="425"/>
      <c r="F18" s="425">
        <f>SUM(F11:F17)</f>
        <v>98943</v>
      </c>
      <c r="H18" s="434"/>
      <c r="I18" s="267"/>
      <c r="J18" s="268"/>
      <c r="K18" s="531">
        <f>SUM(K11:K17)</f>
        <v>21987.333333333332</v>
      </c>
      <c r="L18" s="425"/>
      <c r="M18" s="425">
        <f>SUM(M11:M17)</f>
        <v>98943</v>
      </c>
      <c r="O18" s="530"/>
      <c r="P18" s="530"/>
      <c r="Q18" s="530"/>
    </row>
    <row r="19" spans="1:17" ht="15.75" thickBot="1" x14ac:dyDescent="0.3">
      <c r="A19" s="269"/>
      <c r="B19" s="266"/>
      <c r="C19" s="270"/>
      <c r="D19" s="271"/>
      <c r="E19" s="272"/>
      <c r="F19" s="272"/>
      <c r="H19" s="269"/>
      <c r="I19" s="266"/>
      <c r="J19" s="270"/>
      <c r="K19" s="271"/>
      <c r="L19" s="272"/>
      <c r="M19" s="272"/>
    </row>
    <row r="20" spans="1:17" x14ac:dyDescent="0.25">
      <c r="A20" s="269">
        <v>43467</v>
      </c>
      <c r="B20" s="266" t="s">
        <v>266</v>
      </c>
      <c r="C20" s="270" t="s">
        <v>167</v>
      </c>
      <c r="D20" s="271">
        <v>3938</v>
      </c>
      <c r="E20" s="272">
        <v>4.3</v>
      </c>
      <c r="F20" s="272">
        <f t="shared" si="0"/>
        <v>16933.399999999998</v>
      </c>
      <c r="H20" s="1041">
        <v>43496</v>
      </c>
      <c r="I20" s="459" t="s">
        <v>266</v>
      </c>
      <c r="J20" s="460" t="s">
        <v>167</v>
      </c>
      <c r="K20" s="461">
        <f>+F20/4.5</f>
        <v>3762.9777777777772</v>
      </c>
      <c r="L20" s="462">
        <v>4.5</v>
      </c>
      <c r="M20" s="463">
        <f t="shared" ref="M20:M29" si="3">+K20*L20</f>
        <v>16933.399999999998</v>
      </c>
    </row>
    <row r="21" spans="1:17" x14ac:dyDescent="0.25">
      <c r="A21" s="269">
        <v>43472</v>
      </c>
      <c r="B21" s="266" t="s">
        <v>266</v>
      </c>
      <c r="C21" s="270" t="s">
        <v>167</v>
      </c>
      <c r="D21" s="271">
        <v>6181</v>
      </c>
      <c r="E21" s="272">
        <v>4.3</v>
      </c>
      <c r="F21" s="272">
        <f t="shared" si="0"/>
        <v>26578.3</v>
      </c>
      <c r="H21" s="1042"/>
      <c r="I21" s="465" t="s">
        <v>266</v>
      </c>
      <c r="J21" s="466" t="s">
        <v>167</v>
      </c>
      <c r="K21" s="467">
        <f t="shared" ref="K21:K29" si="4">+F21/4.5</f>
        <v>5906.2888888888883</v>
      </c>
      <c r="L21" s="468">
        <v>4.5</v>
      </c>
      <c r="M21" s="469">
        <f t="shared" si="3"/>
        <v>26578.299999999996</v>
      </c>
    </row>
    <row r="22" spans="1:17" x14ac:dyDescent="0.25">
      <c r="A22" s="269">
        <v>43473</v>
      </c>
      <c r="B22" s="266" t="s">
        <v>266</v>
      </c>
      <c r="C22" s="270" t="s">
        <v>167</v>
      </c>
      <c r="D22" s="271">
        <v>1347</v>
      </c>
      <c r="E22" s="272">
        <v>4.3</v>
      </c>
      <c r="F22" s="272">
        <f t="shared" si="0"/>
        <v>5792.0999999999995</v>
      </c>
      <c r="H22" s="1042"/>
      <c r="I22" s="465" t="s">
        <v>266</v>
      </c>
      <c r="J22" s="466" t="s">
        <v>167</v>
      </c>
      <c r="K22" s="467">
        <f t="shared" si="4"/>
        <v>1287.1333333333332</v>
      </c>
      <c r="L22" s="468">
        <v>4.5</v>
      </c>
      <c r="M22" s="469">
        <f t="shared" si="3"/>
        <v>5792.0999999999995</v>
      </c>
    </row>
    <row r="23" spans="1:17" x14ac:dyDescent="0.25">
      <c r="A23" s="269">
        <v>43476</v>
      </c>
      <c r="B23" s="266" t="s">
        <v>266</v>
      </c>
      <c r="C23" s="270" t="s">
        <v>167</v>
      </c>
      <c r="D23" s="271">
        <v>1854</v>
      </c>
      <c r="E23" s="272">
        <v>4.3</v>
      </c>
      <c r="F23" s="272">
        <f t="shared" si="0"/>
        <v>7972.2</v>
      </c>
      <c r="H23" s="1042"/>
      <c r="I23" s="465" t="s">
        <v>266</v>
      </c>
      <c r="J23" s="466" t="s">
        <v>167</v>
      </c>
      <c r="K23" s="467">
        <f t="shared" si="4"/>
        <v>1771.6</v>
      </c>
      <c r="L23" s="468">
        <v>4.5</v>
      </c>
      <c r="M23" s="469">
        <f t="shared" si="3"/>
        <v>7972.2</v>
      </c>
    </row>
    <row r="24" spans="1:17" x14ac:dyDescent="0.25">
      <c r="A24" s="269">
        <v>43480</v>
      </c>
      <c r="B24" s="266" t="s">
        <v>266</v>
      </c>
      <c r="C24" s="270" t="s">
        <v>167</v>
      </c>
      <c r="D24" s="271">
        <v>7782</v>
      </c>
      <c r="E24" s="272">
        <v>4.3</v>
      </c>
      <c r="F24" s="272">
        <f t="shared" si="0"/>
        <v>33462.6</v>
      </c>
      <c r="H24" s="1042"/>
      <c r="I24" s="465" t="s">
        <v>266</v>
      </c>
      <c r="J24" s="466" t="s">
        <v>167</v>
      </c>
      <c r="K24" s="467">
        <f t="shared" si="4"/>
        <v>7436.1333333333332</v>
      </c>
      <c r="L24" s="468">
        <v>4.5</v>
      </c>
      <c r="M24" s="469">
        <f t="shared" si="3"/>
        <v>33462.6</v>
      </c>
    </row>
    <row r="25" spans="1:17" x14ac:dyDescent="0.25">
      <c r="A25" s="269">
        <v>43481</v>
      </c>
      <c r="B25" s="266" t="s">
        <v>266</v>
      </c>
      <c r="C25" s="270" t="s">
        <v>167</v>
      </c>
      <c r="D25" s="271">
        <v>2776</v>
      </c>
      <c r="E25" s="272">
        <v>4.3</v>
      </c>
      <c r="F25" s="272">
        <f t="shared" si="0"/>
        <v>11936.8</v>
      </c>
      <c r="H25" s="1042"/>
      <c r="I25" s="465" t="s">
        <v>266</v>
      </c>
      <c r="J25" s="466" t="s">
        <v>167</v>
      </c>
      <c r="K25" s="467">
        <f t="shared" si="4"/>
        <v>2652.6222222222223</v>
      </c>
      <c r="L25" s="468">
        <v>4.5</v>
      </c>
      <c r="M25" s="469">
        <f t="shared" si="3"/>
        <v>11936.8</v>
      </c>
    </row>
    <row r="26" spans="1:17" x14ac:dyDescent="0.25">
      <c r="A26" s="269">
        <v>43482</v>
      </c>
      <c r="B26" s="266" t="s">
        <v>266</v>
      </c>
      <c r="C26" s="270" t="s">
        <v>167</v>
      </c>
      <c r="D26" s="271">
        <v>2510</v>
      </c>
      <c r="E26" s="272">
        <v>4.5</v>
      </c>
      <c r="F26" s="272">
        <f t="shared" si="0"/>
        <v>11295</v>
      </c>
      <c r="H26" s="1042"/>
      <c r="I26" s="465" t="s">
        <v>266</v>
      </c>
      <c r="J26" s="466" t="s">
        <v>167</v>
      </c>
      <c r="K26" s="467">
        <f t="shared" si="4"/>
        <v>2510</v>
      </c>
      <c r="L26" s="468">
        <v>4.5</v>
      </c>
      <c r="M26" s="469">
        <f t="shared" si="3"/>
        <v>11295</v>
      </c>
    </row>
    <row r="27" spans="1:17" x14ac:dyDescent="0.25">
      <c r="A27" s="269">
        <v>43483</v>
      </c>
      <c r="B27" s="266" t="s">
        <v>266</v>
      </c>
      <c r="C27" s="270" t="s">
        <v>167</v>
      </c>
      <c r="D27" s="271">
        <v>1997</v>
      </c>
      <c r="E27" s="272">
        <v>4.5</v>
      </c>
      <c r="F27" s="272">
        <f t="shared" si="0"/>
        <v>8986.5</v>
      </c>
      <c r="H27" s="1042"/>
      <c r="I27" s="465" t="s">
        <v>266</v>
      </c>
      <c r="J27" s="466" t="s">
        <v>167</v>
      </c>
      <c r="K27" s="467">
        <f t="shared" si="4"/>
        <v>1997</v>
      </c>
      <c r="L27" s="468">
        <v>4.5</v>
      </c>
      <c r="M27" s="469">
        <f t="shared" si="3"/>
        <v>8986.5</v>
      </c>
    </row>
    <row r="28" spans="1:17" x14ac:dyDescent="0.25">
      <c r="A28" s="269">
        <v>43489</v>
      </c>
      <c r="B28" s="266" t="s">
        <v>266</v>
      </c>
      <c r="C28" s="270" t="s">
        <v>167</v>
      </c>
      <c r="D28" s="271">
        <v>1286</v>
      </c>
      <c r="E28" s="272">
        <v>4.5</v>
      </c>
      <c r="F28" s="272">
        <f t="shared" si="0"/>
        <v>5787</v>
      </c>
      <c r="H28" s="1042"/>
      <c r="I28" s="465" t="s">
        <v>266</v>
      </c>
      <c r="J28" s="466" t="s">
        <v>167</v>
      </c>
      <c r="K28" s="467">
        <f t="shared" si="4"/>
        <v>1286</v>
      </c>
      <c r="L28" s="468">
        <v>4.5</v>
      </c>
      <c r="M28" s="469">
        <f t="shared" si="3"/>
        <v>5787</v>
      </c>
    </row>
    <row r="29" spans="1:17" ht="15.75" thickBot="1" x14ac:dyDescent="0.3">
      <c r="A29" s="269">
        <v>43495</v>
      </c>
      <c r="B29" s="266" t="s">
        <v>266</v>
      </c>
      <c r="C29" s="270" t="s">
        <v>167</v>
      </c>
      <c r="D29" s="271">
        <v>3574</v>
      </c>
      <c r="E29" s="272">
        <v>4.5</v>
      </c>
      <c r="F29" s="272">
        <f t="shared" si="0"/>
        <v>16083</v>
      </c>
      <c r="H29" s="1043"/>
      <c r="I29" s="471" t="s">
        <v>266</v>
      </c>
      <c r="J29" s="472" t="s">
        <v>167</v>
      </c>
      <c r="K29" s="473">
        <f t="shared" si="4"/>
        <v>3574</v>
      </c>
      <c r="L29" s="474">
        <v>4.5</v>
      </c>
      <c r="M29" s="475">
        <f t="shared" si="3"/>
        <v>16083</v>
      </c>
    </row>
    <row r="30" spans="1:17" s="71" customFormat="1" x14ac:dyDescent="0.25">
      <c r="D30" s="529">
        <f>SUM(D20:D29)</f>
        <v>33245</v>
      </c>
      <c r="F30" s="530">
        <f>SUM(F20:F29)</f>
        <v>144826.9</v>
      </c>
      <c r="K30" s="529">
        <f>SUM(K20:K29)</f>
        <v>32183.755555555552</v>
      </c>
      <c r="M30" s="530">
        <f>SUM(M20:M29)</f>
        <v>144826.9</v>
      </c>
      <c r="O30" s="530"/>
      <c r="P30" s="530"/>
      <c r="Q30" s="530"/>
    </row>
    <row r="33" spans="1:17" ht="15.75" thickBot="1" x14ac:dyDescent="0.3"/>
    <row r="34" spans="1:17" ht="15.75" thickBot="1" x14ac:dyDescent="0.3">
      <c r="A34" s="488">
        <v>43524</v>
      </c>
      <c r="B34" s="493" t="s">
        <v>597</v>
      </c>
      <c r="C34" s="489" t="s">
        <v>167</v>
      </c>
      <c r="D34" s="490">
        <v>27020</v>
      </c>
      <c r="E34" s="491">
        <v>1.45</v>
      </c>
      <c r="F34" s="492">
        <f>+D34*E34</f>
        <v>39179</v>
      </c>
      <c r="G34" s="272"/>
      <c r="H34" s="488">
        <v>43524</v>
      </c>
      <c r="I34" s="493" t="s">
        <v>597</v>
      </c>
      <c r="J34" s="584" t="s">
        <v>206</v>
      </c>
      <c r="K34" s="585">
        <f>D34*E34/1.7</f>
        <v>23046.470588235294</v>
      </c>
      <c r="L34" s="586">
        <v>1.7</v>
      </c>
      <c r="M34" s="587">
        <f>L34*K34</f>
        <v>39179</v>
      </c>
      <c r="O34" s="28">
        <f>M34*0.19</f>
        <v>7444.01</v>
      </c>
      <c r="P34" s="28">
        <v>0.6</v>
      </c>
      <c r="Q34" s="28">
        <f>SUM(M34:P34)</f>
        <v>46623.61</v>
      </c>
    </row>
    <row r="35" spans="1:17" ht="15.75" thickBot="1" x14ac:dyDescent="0.3">
      <c r="K35" s="70"/>
      <c r="L35" s="28"/>
      <c r="M35" s="28"/>
    </row>
    <row r="36" spans="1:17" x14ac:dyDescent="0.25">
      <c r="A36" s="566">
        <v>43511</v>
      </c>
      <c r="B36" s="567" t="s">
        <v>266</v>
      </c>
      <c r="C36" s="568" t="s">
        <v>167</v>
      </c>
      <c r="D36" s="569">
        <v>2428</v>
      </c>
      <c r="E36" s="570">
        <v>4.5</v>
      </c>
      <c r="F36" s="571">
        <f t="shared" ref="F36:F41" si="5">+D36*E36</f>
        <v>10926</v>
      </c>
      <c r="G36" s="272"/>
      <c r="H36" s="1044">
        <v>43524</v>
      </c>
      <c r="I36" s="567" t="s">
        <v>266</v>
      </c>
      <c r="J36" s="1047" t="s">
        <v>206</v>
      </c>
      <c r="K36" s="1050">
        <f>D36+D37+D38+D39+D40+D41</f>
        <v>26504</v>
      </c>
      <c r="L36" s="1053">
        <v>4.5</v>
      </c>
      <c r="M36" s="1038">
        <f>L36*K36</f>
        <v>119268</v>
      </c>
    </row>
    <row r="37" spans="1:17" x14ac:dyDescent="0.25">
      <c r="A37" s="572">
        <v>43514</v>
      </c>
      <c r="B37" s="573" t="s">
        <v>266</v>
      </c>
      <c r="C37" s="574" t="s">
        <v>167</v>
      </c>
      <c r="D37" s="575">
        <v>2570</v>
      </c>
      <c r="E37" s="576">
        <v>4.5</v>
      </c>
      <c r="F37" s="577">
        <f t="shared" si="5"/>
        <v>11565</v>
      </c>
      <c r="G37" s="272"/>
      <c r="H37" s="1045"/>
      <c r="I37" s="573" t="s">
        <v>266</v>
      </c>
      <c r="J37" s="1048"/>
      <c r="K37" s="1051"/>
      <c r="L37" s="1054"/>
      <c r="M37" s="1039"/>
    </row>
    <row r="38" spans="1:17" x14ac:dyDescent="0.25">
      <c r="A38" s="572">
        <v>43516</v>
      </c>
      <c r="B38" s="573" t="s">
        <v>266</v>
      </c>
      <c r="C38" s="574" t="s">
        <v>167</v>
      </c>
      <c r="D38" s="575">
        <v>5054</v>
      </c>
      <c r="E38" s="576">
        <v>4.5</v>
      </c>
      <c r="F38" s="577">
        <f t="shared" si="5"/>
        <v>22743</v>
      </c>
      <c r="G38" s="272"/>
      <c r="H38" s="1045"/>
      <c r="I38" s="573" t="s">
        <v>266</v>
      </c>
      <c r="J38" s="1048"/>
      <c r="K38" s="1051"/>
      <c r="L38" s="1054"/>
      <c r="M38" s="1039"/>
    </row>
    <row r="39" spans="1:17" x14ac:dyDescent="0.25">
      <c r="A39" s="572">
        <v>43518</v>
      </c>
      <c r="B39" s="573" t="s">
        <v>266</v>
      </c>
      <c r="C39" s="574" t="s">
        <v>167</v>
      </c>
      <c r="D39" s="575">
        <v>2298</v>
      </c>
      <c r="E39" s="576">
        <v>4.5</v>
      </c>
      <c r="F39" s="577">
        <f t="shared" si="5"/>
        <v>10341</v>
      </c>
      <c r="G39" s="272"/>
      <c r="H39" s="1045"/>
      <c r="I39" s="573" t="s">
        <v>266</v>
      </c>
      <c r="J39" s="1048"/>
      <c r="K39" s="1051"/>
      <c r="L39" s="1054"/>
      <c r="M39" s="1039"/>
      <c r="O39" s="28">
        <f>M36*0.19</f>
        <v>22660.920000000002</v>
      </c>
      <c r="P39" s="28">
        <v>0.6</v>
      </c>
      <c r="Q39" s="28">
        <f>SUM(M36:P41)</f>
        <v>141929.52000000002</v>
      </c>
    </row>
    <row r="40" spans="1:17" x14ac:dyDescent="0.25">
      <c r="A40" s="572">
        <v>43521</v>
      </c>
      <c r="B40" s="573" t="s">
        <v>266</v>
      </c>
      <c r="C40" s="574" t="s">
        <v>167</v>
      </c>
      <c r="D40" s="575">
        <v>5067</v>
      </c>
      <c r="E40" s="576">
        <v>4.5</v>
      </c>
      <c r="F40" s="577">
        <f t="shared" si="5"/>
        <v>22801.5</v>
      </c>
      <c r="G40" s="272"/>
      <c r="H40" s="1045"/>
      <c r="I40" s="573" t="s">
        <v>266</v>
      </c>
      <c r="J40" s="1048"/>
      <c r="K40" s="1051"/>
      <c r="L40" s="1054"/>
      <c r="M40" s="1039"/>
    </row>
    <row r="41" spans="1:17" ht="15.75" thickBot="1" x14ac:dyDescent="0.3">
      <c r="A41" s="578">
        <v>43524</v>
      </c>
      <c r="B41" s="579" t="s">
        <v>266</v>
      </c>
      <c r="C41" s="580" t="s">
        <v>167</v>
      </c>
      <c r="D41" s="581">
        <v>9087</v>
      </c>
      <c r="E41" s="582">
        <v>4.5</v>
      </c>
      <c r="F41" s="583">
        <f t="shared" si="5"/>
        <v>40891.5</v>
      </c>
      <c r="G41" s="272"/>
      <c r="H41" s="1046"/>
      <c r="I41" s="579" t="s">
        <v>266</v>
      </c>
      <c r="J41" s="1049"/>
      <c r="K41" s="1052"/>
      <c r="L41" s="1055"/>
      <c r="M41" s="1040"/>
    </row>
    <row r="42" spans="1:17" x14ac:dyDescent="0.25">
      <c r="L42" s="28"/>
      <c r="M42" s="28"/>
    </row>
  </sheetData>
  <mergeCells count="8">
    <mergeCell ref="M36:M41"/>
    <mergeCell ref="H11:H17"/>
    <mergeCell ref="H20:H29"/>
    <mergeCell ref="H5:H6"/>
    <mergeCell ref="H36:H41"/>
    <mergeCell ref="J36:J41"/>
    <mergeCell ref="K36:K41"/>
    <mergeCell ref="L36:L41"/>
  </mergeCells>
  <pageMargins left="0.70866141732283472" right="0.70866141732283472" top="0.37" bottom="0.43" header="0.31496062992125984" footer="0.31496062992125984"/>
  <pageSetup paperSize="9" orientation="landscape" horizontalDpi="180" verticalDpi="18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M40"/>
  <sheetViews>
    <sheetView workbookViewId="0">
      <selection activeCell="L21" sqref="L21"/>
    </sheetView>
  </sheetViews>
  <sheetFormatPr baseColWidth="10" defaultRowHeight="15" x14ac:dyDescent="0.25"/>
  <cols>
    <col min="1" max="2" width="17" bestFit="1" customWidth="1"/>
    <col min="3" max="3" width="2.85546875" bestFit="1" customWidth="1"/>
    <col min="4" max="4" width="9.140625" customWidth="1"/>
    <col min="5" max="5" width="4.85546875" bestFit="1" customWidth="1"/>
    <col min="6" max="6" width="10.7109375" bestFit="1" customWidth="1"/>
    <col min="7" max="7" width="16.28515625" bestFit="1" customWidth="1"/>
    <col min="8" max="8" width="11" bestFit="1" customWidth="1"/>
    <col min="12" max="12" width="11.7109375" bestFit="1" customWidth="1"/>
  </cols>
  <sheetData>
    <row r="1" spans="1:12" x14ac:dyDescent="0.25">
      <c r="A1" t="s">
        <v>862</v>
      </c>
    </row>
    <row r="3" spans="1:12" x14ac:dyDescent="0.25">
      <c r="A3" s="555" t="s">
        <v>118</v>
      </c>
      <c r="B3" s="548" t="s">
        <v>863</v>
      </c>
      <c r="C3" s="549" t="s">
        <v>206</v>
      </c>
      <c r="D3" s="550">
        <v>29720</v>
      </c>
      <c r="E3" s="551">
        <v>1.45</v>
      </c>
      <c r="F3" s="551">
        <f>D3*E3</f>
        <v>43094</v>
      </c>
      <c r="G3" s="551">
        <f>F3*1.01*0.19</f>
        <v>8269.7386000000006</v>
      </c>
      <c r="H3" s="552">
        <f>F3*1.01+G3+0.6</f>
        <v>51795.278599999998</v>
      </c>
    </row>
    <row r="4" spans="1:12" x14ac:dyDescent="0.25">
      <c r="A4" s="555" t="s">
        <v>118</v>
      </c>
      <c r="B4" s="548" t="s">
        <v>863</v>
      </c>
      <c r="C4" s="549" t="s">
        <v>206</v>
      </c>
      <c r="D4" s="550">
        <v>30190</v>
      </c>
      <c r="E4" s="551">
        <v>1.45</v>
      </c>
      <c r="F4" s="551">
        <f>D4*E4</f>
        <v>43775.5</v>
      </c>
      <c r="G4" s="551">
        <f>F4*1.01*0.19</f>
        <v>8400.5184499999996</v>
      </c>
      <c r="H4" s="552">
        <f>F4*1.01+G4+0.6</f>
        <v>52614.373449999992</v>
      </c>
    </row>
    <row r="5" spans="1:12" x14ac:dyDescent="0.25">
      <c r="F5" s="28">
        <f>SUM(F3:F4)</f>
        <v>86869.5</v>
      </c>
      <c r="G5" s="28">
        <f>SUM(G3:G4)</f>
        <v>16670.25705</v>
      </c>
      <c r="H5" s="28">
        <f>SUM(H3:H4)</f>
        <v>104409.65204999999</v>
      </c>
    </row>
    <row r="6" spans="1:12" x14ac:dyDescent="0.25">
      <c r="F6" s="28"/>
      <c r="G6" s="28" t="s">
        <v>572</v>
      </c>
      <c r="H6" s="28">
        <f>+G5</f>
        <v>16670.25705</v>
      </c>
    </row>
    <row r="7" spans="1:12" x14ac:dyDescent="0.25">
      <c r="F7" s="28"/>
      <c r="G7" s="28" t="s">
        <v>864</v>
      </c>
      <c r="H7" s="28">
        <f>+H5*1.5%</f>
        <v>1566.1447807499999</v>
      </c>
    </row>
    <row r="8" spans="1:12" x14ac:dyDescent="0.25">
      <c r="F8" s="28"/>
      <c r="G8" s="28" t="s">
        <v>866</v>
      </c>
      <c r="H8" s="28">
        <f>+(F3+F4)*0.01</f>
        <v>868.69500000000005</v>
      </c>
    </row>
    <row r="9" spans="1:12" x14ac:dyDescent="0.25">
      <c r="F9" s="69">
        <v>43692</v>
      </c>
      <c r="H9" s="28">
        <v>-51019.533000000003</v>
      </c>
    </row>
    <row r="10" spans="1:12" x14ac:dyDescent="0.25">
      <c r="F10" s="69">
        <v>43713</v>
      </c>
      <c r="H10" s="28">
        <v>-51825.158000000003</v>
      </c>
    </row>
    <row r="11" spans="1:12" x14ac:dyDescent="0.25">
      <c r="H11" s="28"/>
      <c r="L11" s="28">
        <f>+H10+H9</f>
        <v>-102844.69100000001</v>
      </c>
    </row>
    <row r="12" spans="1:12" ht="15.75" thickBot="1" x14ac:dyDescent="0.3">
      <c r="L12" s="28">
        <f>+H6+H7</f>
        <v>18236.401830750001</v>
      </c>
    </row>
    <row r="13" spans="1:12" x14ac:dyDescent="0.25">
      <c r="A13" s="510">
        <v>43643</v>
      </c>
      <c r="B13" s="427" t="s">
        <v>174</v>
      </c>
      <c r="C13" s="428" t="s">
        <v>206</v>
      </c>
      <c r="D13" s="429">
        <v>10660</v>
      </c>
      <c r="E13" s="430">
        <v>1.95</v>
      </c>
      <c r="F13" s="431">
        <f>D13*E13</f>
        <v>20787</v>
      </c>
      <c r="G13" s="272"/>
      <c r="H13" s="272"/>
      <c r="I13" t="s">
        <v>45</v>
      </c>
      <c r="L13">
        <v>20000</v>
      </c>
    </row>
    <row r="14" spans="1:12" x14ac:dyDescent="0.25">
      <c r="A14" s="511">
        <v>43656</v>
      </c>
      <c r="B14" s="266" t="s">
        <v>174</v>
      </c>
      <c r="C14" s="270" t="s">
        <v>206</v>
      </c>
      <c r="D14" s="271">
        <v>12980</v>
      </c>
      <c r="E14" s="272">
        <v>1.95</v>
      </c>
      <c r="F14" s="367">
        <f>D14*E14</f>
        <v>25311</v>
      </c>
      <c r="G14" s="272"/>
      <c r="H14" s="272"/>
      <c r="I14" t="s">
        <v>45</v>
      </c>
      <c r="L14" s="28">
        <f>H8</f>
        <v>868.69500000000005</v>
      </c>
    </row>
    <row r="15" spans="1:12" ht="15.75" thickBot="1" x14ac:dyDescent="0.3">
      <c r="A15" s="680">
        <v>43693</v>
      </c>
      <c r="B15" s="369" t="s">
        <v>174</v>
      </c>
      <c r="C15" s="370" t="s">
        <v>206</v>
      </c>
      <c r="D15" s="371">
        <v>8540</v>
      </c>
      <c r="E15" s="372">
        <v>2.1</v>
      </c>
      <c r="F15" s="373">
        <f>D15*E15</f>
        <v>17934</v>
      </c>
      <c r="G15" s="272"/>
      <c r="H15" s="272"/>
      <c r="I15" t="s">
        <v>45</v>
      </c>
      <c r="L15" s="28">
        <f>SUM(L11:L14)</f>
        <v>-63739.594169249998</v>
      </c>
    </row>
    <row r="16" spans="1:12" x14ac:dyDescent="0.25">
      <c r="F16" s="28">
        <f>SUM(F13:F15)</f>
        <v>64032</v>
      </c>
      <c r="G16" s="272"/>
      <c r="H16" s="28"/>
    </row>
    <row r="17" spans="1:13" x14ac:dyDescent="0.25">
      <c r="L17" s="28">
        <v>1272.5550000000001</v>
      </c>
    </row>
    <row r="18" spans="1:13" x14ac:dyDescent="0.25">
      <c r="K18">
        <v>0.6</v>
      </c>
      <c r="L18" s="28">
        <f>+L17-K18</f>
        <v>1271.9550000000002</v>
      </c>
    </row>
    <row r="19" spans="1:13" x14ac:dyDescent="0.25">
      <c r="K19">
        <v>1.19</v>
      </c>
      <c r="L19" s="28">
        <f>+L18/K19</f>
        <v>1068.8697478991598</v>
      </c>
    </row>
    <row r="20" spans="1:13" ht="15.75" thickBot="1" x14ac:dyDescent="0.3">
      <c r="A20" s="680">
        <v>43693</v>
      </c>
      <c r="B20" s="369" t="s">
        <v>174</v>
      </c>
      <c r="C20" s="370" t="s">
        <v>206</v>
      </c>
      <c r="D20" s="371">
        <v>504</v>
      </c>
      <c r="E20" s="372">
        <v>2.1</v>
      </c>
      <c r="F20" s="372">
        <f>D20*E20</f>
        <v>1058.4000000000001</v>
      </c>
      <c r="G20" s="372">
        <f>F20*1.01*0.19</f>
        <v>203.10696000000004</v>
      </c>
      <c r="H20" s="373">
        <f>F20*1.01+G20+0.6</f>
        <v>1272.6909600000001</v>
      </c>
      <c r="K20">
        <v>1.01</v>
      </c>
      <c r="L20" s="28">
        <f>+L19/K20</f>
        <v>1058.2868791080791</v>
      </c>
    </row>
    <row r="21" spans="1:13" x14ac:dyDescent="0.25">
      <c r="K21" s="681">
        <v>2.1</v>
      </c>
      <c r="L21" s="28">
        <f>+L20/K21</f>
        <v>503.94613290860906</v>
      </c>
    </row>
    <row r="22" spans="1:13" x14ac:dyDescent="0.25">
      <c r="L22" s="28"/>
    </row>
    <row r="23" spans="1:13" x14ac:dyDescent="0.25">
      <c r="L23" s="28"/>
    </row>
    <row r="26" spans="1:13" ht="15.75" thickBot="1" x14ac:dyDescent="0.3"/>
    <row r="27" spans="1:13" x14ac:dyDescent="0.25">
      <c r="A27" s="682" t="s">
        <v>865</v>
      </c>
      <c r="B27" s="683"/>
      <c r="C27" s="683"/>
      <c r="D27" s="683"/>
      <c r="E27" s="683"/>
      <c r="F27" s="684">
        <v>43692</v>
      </c>
      <c r="G27" s="683"/>
      <c r="H27" s="685">
        <v>-51019.533000000003</v>
      </c>
    </row>
    <row r="28" spans="1:13" x14ac:dyDescent="0.25">
      <c r="A28" s="686"/>
      <c r="F28" s="69">
        <v>43713</v>
      </c>
      <c r="H28" s="687">
        <v>-51825.158000000003</v>
      </c>
    </row>
    <row r="29" spans="1:13" x14ac:dyDescent="0.25">
      <c r="A29" s="686"/>
      <c r="H29" s="688"/>
    </row>
    <row r="30" spans="1:13" x14ac:dyDescent="0.25">
      <c r="A30" s="555" t="s">
        <v>118</v>
      </c>
      <c r="B30" s="548" t="s">
        <v>863</v>
      </c>
      <c r="C30" s="549" t="s">
        <v>206</v>
      </c>
      <c r="D30" s="550">
        <v>29720</v>
      </c>
      <c r="E30" s="551">
        <v>1.45</v>
      </c>
      <c r="F30" s="551">
        <f>D30*E30</f>
        <v>43094</v>
      </c>
      <c r="G30" s="551">
        <f>F30*1.01*0.19</f>
        <v>8269.7386000000006</v>
      </c>
      <c r="H30" s="552">
        <f>F30*1.01+G30+0.6</f>
        <v>51795.278599999998</v>
      </c>
    </row>
    <row r="31" spans="1:13" x14ac:dyDescent="0.25">
      <c r="A31" s="555" t="s">
        <v>118</v>
      </c>
      <c r="B31" s="548" t="s">
        <v>863</v>
      </c>
      <c r="C31" s="549" t="s">
        <v>206</v>
      </c>
      <c r="D31" s="550">
        <v>30190</v>
      </c>
      <c r="E31" s="551">
        <v>1.45</v>
      </c>
      <c r="F31" s="551">
        <f>D31*E31</f>
        <v>43775.5</v>
      </c>
      <c r="G31" s="551">
        <f>F31*1.01*0.19</f>
        <v>8400.5184499999996</v>
      </c>
      <c r="H31" s="552">
        <f>F31*1.01+G31+0.6</f>
        <v>52614.373449999992</v>
      </c>
      <c r="K31" s="28">
        <f>F30+F31</f>
        <v>86869.5</v>
      </c>
      <c r="M31" s="28">
        <f>+H32-H33-H35</f>
        <v>86870.699999999983</v>
      </c>
    </row>
    <row r="32" spans="1:13" x14ac:dyDescent="0.25">
      <c r="A32" s="686"/>
      <c r="H32" s="687">
        <f>SUM(H30:H31)</f>
        <v>104409.65204999999</v>
      </c>
      <c r="K32" s="28">
        <v>-20000</v>
      </c>
      <c r="M32" s="28">
        <f>+M31-H34</f>
        <v>85304.555219249989</v>
      </c>
    </row>
    <row r="33" spans="1:13" x14ac:dyDescent="0.25">
      <c r="A33" s="686"/>
      <c r="G33" t="s">
        <v>572</v>
      </c>
      <c r="H33" s="687">
        <f>+G30+G31</f>
        <v>16670.25705</v>
      </c>
      <c r="K33" s="28">
        <f>-F13</f>
        <v>-20787</v>
      </c>
      <c r="M33">
        <v>20000</v>
      </c>
    </row>
    <row r="34" spans="1:13" x14ac:dyDescent="0.25">
      <c r="A34" s="686"/>
      <c r="G34" t="s">
        <v>864</v>
      </c>
      <c r="H34" s="687">
        <f>+(H31+H30)*1.5%</f>
        <v>1566.1447807499999</v>
      </c>
      <c r="K34" s="28">
        <f>-F14</f>
        <v>-25311</v>
      </c>
      <c r="M34">
        <v>64032</v>
      </c>
    </row>
    <row r="35" spans="1:13" x14ac:dyDescent="0.25">
      <c r="A35" s="686"/>
      <c r="G35" t="s">
        <v>866</v>
      </c>
      <c r="H35" s="687">
        <f>(F30+F31)*0.01</f>
        <v>868.69500000000005</v>
      </c>
      <c r="K35" s="28">
        <f>-F15</f>
        <v>-17934</v>
      </c>
      <c r="M35" s="28">
        <f>+M32-M33-M34</f>
        <v>1272.555219249989</v>
      </c>
    </row>
    <row r="36" spans="1:13" x14ac:dyDescent="0.25">
      <c r="A36" s="686"/>
      <c r="G36" t="s">
        <v>867</v>
      </c>
      <c r="H36" s="687">
        <v>20000</v>
      </c>
      <c r="K36" s="28">
        <f>SUM(K31:K35)</f>
        <v>2837.5</v>
      </c>
    </row>
    <row r="37" spans="1:13" x14ac:dyDescent="0.25">
      <c r="A37" s="686"/>
      <c r="G37" t="s">
        <v>768</v>
      </c>
      <c r="H37" s="687">
        <f>F13+F14+F15</f>
        <v>64032</v>
      </c>
      <c r="K37" s="28"/>
    </row>
    <row r="38" spans="1:13" ht="15.75" thickBot="1" x14ac:dyDescent="0.3">
      <c r="A38" s="689"/>
      <c r="B38" s="690"/>
      <c r="C38" s="690"/>
      <c r="D38" s="690"/>
      <c r="E38" s="690"/>
      <c r="F38" s="690"/>
      <c r="G38" s="690" t="s">
        <v>868</v>
      </c>
      <c r="H38" s="691">
        <f>H32-H33-H34-H35-H36-H37</f>
        <v>1272.555219249989</v>
      </c>
    </row>
    <row r="40" spans="1:13" x14ac:dyDescent="0.25">
      <c r="H40" s="28"/>
    </row>
  </sheetData>
  <pageMargins left="0.21" right="0.33" top="0.75" bottom="0.75" header="0.3" footer="0.3"/>
  <pageSetup paperSize="9" orientation="portrait" horizontalDpi="180" verticalDpi="18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J28"/>
  <sheetViews>
    <sheetView workbookViewId="0">
      <selection activeCell="F28" sqref="F28"/>
    </sheetView>
  </sheetViews>
  <sheetFormatPr baseColWidth="10" defaultRowHeight="15" x14ac:dyDescent="0.25"/>
  <cols>
    <col min="1" max="1" width="32.140625" bestFit="1" customWidth="1"/>
    <col min="2" max="5" width="13.42578125" bestFit="1" customWidth="1"/>
    <col min="6" max="6" width="17.42578125" customWidth="1"/>
    <col min="8" max="8" width="13.140625" bestFit="1" customWidth="1"/>
    <col min="10" max="10" width="13.140625" bestFit="1" customWidth="1"/>
  </cols>
  <sheetData>
    <row r="1" spans="1:10" ht="15.75" thickBot="1" x14ac:dyDescent="0.3">
      <c r="A1" s="944" t="s">
        <v>1094</v>
      </c>
      <c r="B1" s="945"/>
      <c r="C1" s="945"/>
      <c r="D1" s="945"/>
      <c r="E1" s="946"/>
    </row>
    <row r="2" spans="1:10" ht="15.75" thickBot="1" x14ac:dyDescent="0.3"/>
    <row r="3" spans="1:10" s="749" customFormat="1" ht="15.75" thickBot="1" x14ac:dyDescent="0.3">
      <c r="A3" s="759" t="s">
        <v>1095</v>
      </c>
      <c r="B3" s="760">
        <v>43465</v>
      </c>
      <c r="C3" s="760">
        <v>43738</v>
      </c>
      <c r="D3" s="760">
        <v>43784</v>
      </c>
      <c r="E3" s="761">
        <v>43830</v>
      </c>
    </row>
    <row r="4" spans="1:10" ht="15.75" thickBot="1" x14ac:dyDescent="0.3"/>
    <row r="5" spans="1:10" x14ac:dyDescent="0.25">
      <c r="A5" s="750" t="s">
        <v>1096</v>
      </c>
      <c r="B5" s="751">
        <v>6854000.0240000002</v>
      </c>
      <c r="C5" s="751">
        <v>5791667</v>
      </c>
      <c r="D5" s="751">
        <v>5583333</v>
      </c>
      <c r="E5" s="752">
        <v>5583333</v>
      </c>
      <c r="H5" s="530">
        <f>E5-D5</f>
        <v>0</v>
      </c>
      <c r="J5" s="28">
        <f>E5-B5</f>
        <v>-1270667.0240000002</v>
      </c>
    </row>
    <row r="6" spans="1:10" x14ac:dyDescent="0.25">
      <c r="A6" s="753" t="s">
        <v>1097</v>
      </c>
      <c r="B6" s="748">
        <v>139337.935</v>
      </c>
      <c r="C6" s="748">
        <v>82955.649000000005</v>
      </c>
      <c r="D6" s="748">
        <v>73087.614000000001</v>
      </c>
      <c r="E6" s="754">
        <v>64744.012999999999</v>
      </c>
      <c r="H6" s="530">
        <f t="shared" ref="H6:H28" si="0">E6-D6</f>
        <v>-8343.6010000000024</v>
      </c>
      <c r="J6" s="28">
        <f t="shared" ref="J6:J28" si="1">E6-B6</f>
        <v>-74593.921999999991</v>
      </c>
    </row>
    <row r="7" spans="1:10" x14ac:dyDescent="0.25">
      <c r="A7" s="753" t="s">
        <v>1098</v>
      </c>
      <c r="B7" s="748">
        <v>151750.12899999999</v>
      </c>
      <c r="C7" s="748">
        <v>173089.25700000001</v>
      </c>
      <c r="D7" s="748">
        <v>156931.62299999999</v>
      </c>
      <c r="E7" s="754">
        <v>142118.77600000001</v>
      </c>
      <c r="H7" s="530">
        <f t="shared" si="0"/>
        <v>-14812.84699999998</v>
      </c>
      <c r="J7" s="28">
        <f t="shared" si="1"/>
        <v>-9631.3529999999737</v>
      </c>
    </row>
    <row r="8" spans="1:10" x14ac:dyDescent="0.25">
      <c r="A8" s="753" t="s">
        <v>1099</v>
      </c>
      <c r="B8" s="748">
        <v>34633.343999999997</v>
      </c>
      <c r="C8" s="748">
        <v>23269.297999999999</v>
      </c>
      <c r="D8" s="748">
        <v>20626.601999999999</v>
      </c>
      <c r="E8" s="754">
        <v>19288.714</v>
      </c>
      <c r="H8" s="530">
        <f t="shared" si="0"/>
        <v>-1337.887999999999</v>
      </c>
      <c r="J8" s="28">
        <f t="shared" si="1"/>
        <v>-15344.629999999997</v>
      </c>
    </row>
    <row r="9" spans="1:10" x14ac:dyDescent="0.25">
      <c r="A9" s="753" t="s">
        <v>1100</v>
      </c>
      <c r="B9" s="748">
        <v>16029.880999999999</v>
      </c>
      <c r="C9" s="748">
        <v>9136.4429999999993</v>
      </c>
      <c r="D9" s="748">
        <v>7535.1859999999997</v>
      </c>
      <c r="E9" s="754">
        <v>6724.7870000000003</v>
      </c>
      <c r="H9" s="530">
        <f t="shared" si="0"/>
        <v>-810.39899999999943</v>
      </c>
      <c r="J9" s="28">
        <f t="shared" si="1"/>
        <v>-9305.0939999999991</v>
      </c>
    </row>
    <row r="10" spans="1:10" x14ac:dyDescent="0.25">
      <c r="A10" s="753" t="s">
        <v>1101</v>
      </c>
      <c r="B10" s="748">
        <v>5500000</v>
      </c>
      <c r="C10" s="748">
        <v>5500000</v>
      </c>
      <c r="D10" s="748">
        <v>5500000</v>
      </c>
      <c r="E10" s="754">
        <v>5500000</v>
      </c>
      <c r="H10" s="530">
        <f t="shared" si="0"/>
        <v>0</v>
      </c>
      <c r="J10" s="28">
        <f t="shared" si="1"/>
        <v>0</v>
      </c>
    </row>
    <row r="11" spans="1:10" x14ac:dyDescent="0.25">
      <c r="A11" s="753" t="s">
        <v>1111</v>
      </c>
      <c r="B11" s="748">
        <v>600000</v>
      </c>
      <c r="C11" s="748">
        <v>0</v>
      </c>
      <c r="D11" s="748">
        <v>0</v>
      </c>
      <c r="E11" s="754">
        <v>0</v>
      </c>
      <c r="H11" s="530">
        <f t="shared" si="0"/>
        <v>0</v>
      </c>
      <c r="J11" s="28">
        <f t="shared" si="1"/>
        <v>-600000</v>
      </c>
    </row>
    <row r="12" spans="1:10" x14ac:dyDescent="0.25">
      <c r="A12" s="753" t="s">
        <v>1102</v>
      </c>
      <c r="B12" s="748">
        <v>2674075.2999999998</v>
      </c>
      <c r="C12" s="748">
        <v>2765137.5180000002</v>
      </c>
      <c r="D12" s="748">
        <v>3746147.9389999998</v>
      </c>
      <c r="E12" s="787">
        <f>2192923.78-18350.237</f>
        <v>2174573.5429999996</v>
      </c>
      <c r="H12" s="530">
        <f t="shared" si="0"/>
        <v>-1571574.3960000002</v>
      </c>
      <c r="J12" s="28">
        <f t="shared" si="1"/>
        <v>-499501.75700000022</v>
      </c>
    </row>
    <row r="13" spans="1:10" x14ac:dyDescent="0.25">
      <c r="A13" s="753" t="s">
        <v>1103</v>
      </c>
      <c r="B13" s="748">
        <v>250879.011</v>
      </c>
      <c r="C13" s="748">
        <v>187053.90599999999</v>
      </c>
      <c r="D13" s="748">
        <v>170117.633</v>
      </c>
      <c r="E13" s="787">
        <f>215164.759-250350.349-15844.914-800-22709.675</f>
        <v>-74540.179000000004</v>
      </c>
      <c r="H13" s="530">
        <f t="shared" si="0"/>
        <v>-244657.81200000001</v>
      </c>
      <c r="J13" s="28">
        <f t="shared" si="1"/>
        <v>-325419.19</v>
      </c>
    </row>
    <row r="14" spans="1:10" x14ac:dyDescent="0.25">
      <c r="A14" s="753" t="s">
        <v>1112</v>
      </c>
      <c r="B14" s="748">
        <v>-10371.633</v>
      </c>
      <c r="C14" s="748">
        <v>115110.70600000001</v>
      </c>
      <c r="D14" s="748">
        <v>118207.57</v>
      </c>
      <c r="E14" s="787">
        <v>-15643.075999999999</v>
      </c>
      <c r="H14" s="530">
        <f t="shared" si="0"/>
        <v>-133850.64600000001</v>
      </c>
      <c r="J14" s="28">
        <f t="shared" si="1"/>
        <v>-5271.4429999999993</v>
      </c>
    </row>
    <row r="15" spans="1:10" x14ac:dyDescent="0.25">
      <c r="A15" s="753" t="s">
        <v>1113</v>
      </c>
      <c r="B15" s="748">
        <v>27581.830999999998</v>
      </c>
      <c r="C15" s="748">
        <v>64978.159</v>
      </c>
      <c r="D15" s="748">
        <v>92149.71</v>
      </c>
      <c r="E15" s="787">
        <v>-8059.3689999999997</v>
      </c>
      <c r="H15" s="530">
        <f t="shared" si="0"/>
        <v>-100209.07900000001</v>
      </c>
      <c r="J15" s="28">
        <f t="shared" si="1"/>
        <v>-35641.199999999997</v>
      </c>
    </row>
    <row r="16" spans="1:10" x14ac:dyDescent="0.25">
      <c r="A16" s="753" t="s">
        <v>1114</v>
      </c>
      <c r="B16" s="748">
        <f>-(41919.56*3.4272+126.23*2.9944)</f>
        <v>-144044.69914399998</v>
      </c>
      <c r="C16" s="748">
        <f>-(94845*3.15)-(3699.41*2.9)</f>
        <v>-309490.03899999999</v>
      </c>
      <c r="D16" s="748">
        <f>-((368607.77+58245.42)*3.15)-(3699.41*2.9)</f>
        <v>-1355315.8375000001</v>
      </c>
      <c r="E16" s="787">
        <f>-(336968.75*3.1402)-(3699.41*2.7985)</f>
        <v>-1068502.067635</v>
      </c>
      <c r="F16" t="s">
        <v>1880</v>
      </c>
      <c r="H16" s="530">
        <f t="shared" si="0"/>
        <v>286813.76986500015</v>
      </c>
      <c r="J16" s="28">
        <f t="shared" si="1"/>
        <v>-924457.36849100003</v>
      </c>
    </row>
    <row r="17" spans="1:10" ht="15.75" thickBot="1" x14ac:dyDescent="0.3">
      <c r="A17" s="756" t="s">
        <v>1115</v>
      </c>
      <c r="B17" s="757">
        <f>-33796.11*3.4272</f>
        <v>-115826.028192</v>
      </c>
      <c r="C17" s="757">
        <f>-12614.17*3.15</f>
        <v>-39734.635499999997</v>
      </c>
      <c r="D17" s="757">
        <f>-12614.17*3.15</f>
        <v>-39734.635499999997</v>
      </c>
      <c r="E17" s="758">
        <f>-12614.17*3.1402</f>
        <v>-39611.016634</v>
      </c>
      <c r="F17" t="s">
        <v>1879</v>
      </c>
      <c r="H17" s="530">
        <f t="shared" si="0"/>
        <v>123.61886599999707</v>
      </c>
      <c r="J17" s="28">
        <f t="shared" si="1"/>
        <v>76215.011557999998</v>
      </c>
    </row>
    <row r="18" spans="1:10" ht="15.75" thickBot="1" x14ac:dyDescent="0.3">
      <c r="A18" s="755" t="s">
        <v>1104</v>
      </c>
      <c r="B18" s="447">
        <f>SUM(B5:B16)</f>
        <v>16093871.122855999</v>
      </c>
      <c r="C18" s="447">
        <f>SUM(C5:C16)</f>
        <v>14402907.896999998</v>
      </c>
      <c r="D18" s="447">
        <f>SUM(D5:D16)</f>
        <v>14112821.039499998</v>
      </c>
      <c r="E18" s="448">
        <f>SUM(E5:E16)</f>
        <v>12324038.141364999</v>
      </c>
      <c r="H18" s="530">
        <f t="shared" si="0"/>
        <v>-1788782.898134999</v>
      </c>
      <c r="J18" s="28">
        <f t="shared" si="1"/>
        <v>-3769832.9814909995</v>
      </c>
    </row>
    <row r="19" spans="1:10" ht="15.75" thickBot="1" x14ac:dyDescent="0.3">
      <c r="B19" s="28"/>
      <c r="C19" s="28"/>
      <c r="D19" s="28"/>
      <c r="E19" s="28"/>
      <c r="H19" s="530"/>
      <c r="J19" s="28"/>
    </row>
    <row r="20" spans="1:10" x14ac:dyDescent="0.25">
      <c r="A20" s="750" t="s">
        <v>116</v>
      </c>
      <c r="B20" s="751">
        <v>2631838.9500000002</v>
      </c>
      <c r="C20" s="751">
        <v>0</v>
      </c>
      <c r="D20" s="751">
        <v>0</v>
      </c>
      <c r="E20" s="790">
        <v>2476950</v>
      </c>
      <c r="H20" s="530">
        <f t="shared" si="0"/>
        <v>2476950</v>
      </c>
      <c r="J20" s="28">
        <f t="shared" si="1"/>
        <v>-154888.95000000019</v>
      </c>
    </row>
    <row r="21" spans="1:10" x14ac:dyDescent="0.25">
      <c r="A21" s="753" t="s">
        <v>1105</v>
      </c>
      <c r="B21" s="748">
        <v>575000</v>
      </c>
      <c r="C21" s="748">
        <v>0</v>
      </c>
      <c r="D21" s="748">
        <v>0</v>
      </c>
      <c r="E21" s="754">
        <v>0</v>
      </c>
      <c r="H21" s="530">
        <f t="shared" si="0"/>
        <v>0</v>
      </c>
      <c r="J21" s="28">
        <f t="shared" si="1"/>
        <v>-575000</v>
      </c>
    </row>
    <row r="22" spans="1:10" x14ac:dyDescent="0.25">
      <c r="A22" s="753" t="s">
        <v>1106</v>
      </c>
      <c r="B22" s="748">
        <v>349000</v>
      </c>
      <c r="C22" s="748">
        <v>0</v>
      </c>
      <c r="D22" s="748">
        <v>0</v>
      </c>
      <c r="E22" s="754">
        <v>0</v>
      </c>
      <c r="H22" s="530">
        <f t="shared" si="0"/>
        <v>0</v>
      </c>
      <c r="J22" s="28">
        <f t="shared" si="1"/>
        <v>-349000</v>
      </c>
    </row>
    <row r="23" spans="1:10" x14ac:dyDescent="0.25">
      <c r="A23" s="753" t="s">
        <v>1107</v>
      </c>
      <c r="B23" s="748">
        <v>520000</v>
      </c>
      <c r="C23" s="748">
        <v>0</v>
      </c>
      <c r="D23" s="748">
        <v>0</v>
      </c>
      <c r="E23" s="754">
        <v>0</v>
      </c>
      <c r="H23" s="530">
        <f t="shared" si="0"/>
        <v>0</v>
      </c>
      <c r="J23" s="28">
        <f t="shared" si="1"/>
        <v>-520000</v>
      </c>
    </row>
    <row r="24" spans="1:10" x14ac:dyDescent="0.25">
      <c r="A24" s="753" t="s">
        <v>1108</v>
      </c>
      <c r="B24" s="748">
        <v>340000</v>
      </c>
      <c r="C24" s="748">
        <v>0</v>
      </c>
      <c r="D24" s="748">
        <v>0</v>
      </c>
      <c r="E24" s="754">
        <v>0</v>
      </c>
      <c r="H24" s="530">
        <f t="shared" si="0"/>
        <v>0</v>
      </c>
      <c r="J24" s="28">
        <f t="shared" si="1"/>
        <v>-340000</v>
      </c>
    </row>
    <row r="25" spans="1:10" x14ac:dyDescent="0.25">
      <c r="A25" s="753" t="s">
        <v>1109</v>
      </c>
      <c r="B25" s="748">
        <v>60000</v>
      </c>
      <c r="C25" s="748">
        <v>0</v>
      </c>
      <c r="D25" s="748">
        <v>0</v>
      </c>
      <c r="E25" s="754">
        <v>0</v>
      </c>
      <c r="H25" s="530">
        <f t="shared" si="0"/>
        <v>0</v>
      </c>
      <c r="J25" s="28">
        <f t="shared" si="1"/>
        <v>-60000</v>
      </c>
    </row>
    <row r="26" spans="1:10" x14ac:dyDescent="0.25">
      <c r="A26" s="783" t="s">
        <v>1232</v>
      </c>
      <c r="B26" s="784"/>
      <c r="C26" s="784"/>
      <c r="D26" s="784"/>
      <c r="E26" s="791">
        <v>350000</v>
      </c>
      <c r="H26" s="530">
        <f t="shared" si="0"/>
        <v>350000</v>
      </c>
      <c r="J26" s="28">
        <f t="shared" si="1"/>
        <v>350000</v>
      </c>
    </row>
    <row r="27" spans="1:10" ht="15.75" thickBot="1" x14ac:dyDescent="0.3">
      <c r="A27" s="756" t="s">
        <v>1110</v>
      </c>
      <c r="B27" s="757">
        <v>1506000</v>
      </c>
      <c r="C27" s="757">
        <v>1500000</v>
      </c>
      <c r="D27" s="757">
        <f>905880.76+910877.33</f>
        <v>1816758.0899999999</v>
      </c>
      <c r="E27" s="758">
        <v>1499651.885</v>
      </c>
      <c r="H27" s="530">
        <f t="shared" si="0"/>
        <v>-317106.20499999984</v>
      </c>
      <c r="J27" s="28">
        <f t="shared" si="1"/>
        <v>-6348.1149999999907</v>
      </c>
    </row>
    <row r="28" spans="1:10" ht="15.75" thickBot="1" x14ac:dyDescent="0.3">
      <c r="A28" s="401" t="s">
        <v>76</v>
      </c>
      <c r="B28" s="447">
        <f>SUM(B18:B27)</f>
        <v>22075710.072855998</v>
      </c>
      <c r="C28" s="447">
        <f>SUM(C18:C27)</f>
        <v>15902907.896999998</v>
      </c>
      <c r="D28" s="447">
        <f>SUM(D18:D27)</f>
        <v>15929579.129499998</v>
      </c>
      <c r="E28" s="448">
        <f>SUM(E18:E27)</f>
        <v>16650640.026364999</v>
      </c>
      <c r="H28" s="530">
        <f t="shared" si="0"/>
        <v>721060.89686500095</v>
      </c>
      <c r="J28" s="28">
        <f t="shared" si="1"/>
        <v>-5425070.0464909989</v>
      </c>
    </row>
  </sheetData>
  <mergeCells count="1">
    <mergeCell ref="A1:E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24"/>
  <sheetViews>
    <sheetView workbookViewId="0">
      <selection activeCell="D5" sqref="D5:D6"/>
    </sheetView>
  </sheetViews>
  <sheetFormatPr baseColWidth="10" defaultRowHeight="15" x14ac:dyDescent="0.25"/>
  <cols>
    <col min="1" max="1" width="16.85546875" bestFit="1" customWidth="1"/>
    <col min="2" max="2" width="13.140625" style="28" bestFit="1" customWidth="1"/>
    <col min="3" max="3" width="3.140625" customWidth="1"/>
    <col min="4" max="4" width="13.140625" style="28" bestFit="1" customWidth="1"/>
    <col min="6" max="6" width="24.140625" style="28" bestFit="1" customWidth="1"/>
    <col min="7" max="7" width="13.140625" style="28" bestFit="1" customWidth="1"/>
  </cols>
  <sheetData>
    <row r="1" spans="1:7" x14ac:dyDescent="0.25">
      <c r="A1" t="s">
        <v>1116</v>
      </c>
      <c r="B1" s="28">
        <v>-170117.633</v>
      </c>
      <c r="D1" s="28">
        <v>-170117.633</v>
      </c>
      <c r="G1" s="28">
        <v>-3746147.9389999998</v>
      </c>
    </row>
    <row r="2" spans="1:7" x14ac:dyDescent="0.25">
      <c r="A2" t="s">
        <v>1117</v>
      </c>
      <c r="B2" s="28">
        <f>112324+800+6702+20000+8055</f>
        <v>147881</v>
      </c>
      <c r="D2" s="28">
        <f>112324+800+6702+20000+8055</f>
        <v>147881</v>
      </c>
      <c r="F2" s="28" t="s">
        <v>1126</v>
      </c>
      <c r="G2" s="28">
        <v>-150000</v>
      </c>
    </row>
    <row r="3" spans="1:7" x14ac:dyDescent="0.25">
      <c r="A3" t="s">
        <v>1118</v>
      </c>
      <c r="B3" s="28">
        <v>188000</v>
      </c>
      <c r="D3" s="28">
        <v>300000</v>
      </c>
      <c r="F3" s="28" t="s">
        <v>1127</v>
      </c>
      <c r="G3" s="28">
        <v>-170000</v>
      </c>
    </row>
    <row r="4" spans="1:7" x14ac:dyDescent="0.25">
      <c r="A4" t="s">
        <v>1119</v>
      </c>
      <c r="B4" s="28">
        <v>458000</v>
      </c>
      <c r="D4" s="28">
        <v>600000</v>
      </c>
      <c r="F4" s="28" t="s">
        <v>527</v>
      </c>
      <c r="G4" s="28">
        <f>-135000*2</f>
        <v>-270000</v>
      </c>
    </row>
    <row r="5" spans="1:7" x14ac:dyDescent="0.25">
      <c r="A5" t="s">
        <v>1120</v>
      </c>
      <c r="B5" s="28">
        <v>118000</v>
      </c>
      <c r="D5" s="28">
        <v>200000</v>
      </c>
      <c r="F5" s="28" t="s">
        <v>1132</v>
      </c>
      <c r="G5" s="28">
        <f>-183000*2</f>
        <v>-366000</v>
      </c>
    </row>
    <row r="6" spans="1:7" x14ac:dyDescent="0.25">
      <c r="A6" t="s">
        <v>1121</v>
      </c>
      <c r="B6" s="28">
        <v>97690</v>
      </c>
      <c r="D6" s="28">
        <v>200000</v>
      </c>
      <c r="F6" s="28" t="s">
        <v>1133</v>
      </c>
      <c r="G6" s="28">
        <v>-130000</v>
      </c>
    </row>
    <row r="7" spans="1:7" x14ac:dyDescent="0.25">
      <c r="A7" t="s">
        <v>1122</v>
      </c>
      <c r="B7" s="28">
        <v>250000</v>
      </c>
      <c r="D7" s="28">
        <v>250000</v>
      </c>
      <c r="F7" s="28" t="s">
        <v>111</v>
      </c>
      <c r="G7" s="28">
        <v>-160000</v>
      </c>
    </row>
    <row r="8" spans="1:7" x14ac:dyDescent="0.25">
      <c r="A8" t="s">
        <v>1123</v>
      </c>
      <c r="B8" s="28">
        <v>600000</v>
      </c>
      <c r="D8" s="28">
        <v>600000</v>
      </c>
      <c r="F8" s="28" t="s">
        <v>1134</v>
      </c>
      <c r="G8" s="28">
        <v>-60000</v>
      </c>
    </row>
    <row r="9" spans="1:7" x14ac:dyDescent="0.25">
      <c r="A9" t="s">
        <v>1124</v>
      </c>
      <c r="F9" s="28" t="s">
        <v>46</v>
      </c>
      <c r="G9" s="28">
        <v>-649406</v>
      </c>
    </row>
    <row r="10" spans="1:7" x14ac:dyDescent="0.25">
      <c r="A10" s="763">
        <v>43770</v>
      </c>
      <c r="B10" s="28">
        <v>856144.46200000006</v>
      </c>
      <c r="D10" s="28">
        <v>856144.46200000006</v>
      </c>
      <c r="F10" s="28" t="s">
        <v>596</v>
      </c>
      <c r="G10" s="28">
        <f>-400000-200000</f>
        <v>-600000</v>
      </c>
    </row>
    <row r="11" spans="1:7" x14ac:dyDescent="0.25">
      <c r="A11" s="69">
        <v>43828</v>
      </c>
      <c r="B11" s="28">
        <v>756802.64300000004</v>
      </c>
      <c r="D11" s="28">
        <v>756802.64300000004</v>
      </c>
      <c r="F11" s="28" t="s">
        <v>823</v>
      </c>
      <c r="G11" s="28">
        <f>-2*36*2250*1.19</f>
        <v>-192780</v>
      </c>
    </row>
    <row r="12" spans="1:7" x14ac:dyDescent="0.25">
      <c r="A12" t="s">
        <v>1125</v>
      </c>
      <c r="B12" s="28">
        <f>SUM(B1:B11)</f>
        <v>3302400.4720000001</v>
      </c>
      <c r="D12" s="28">
        <f>SUM(D1:D11)</f>
        <v>3740710.4720000001</v>
      </c>
      <c r="F12" s="28" t="s">
        <v>577</v>
      </c>
      <c r="G12" s="28">
        <f>-2*36*2250*1.19</f>
        <v>-192780</v>
      </c>
    </row>
    <row r="13" spans="1:7" x14ac:dyDescent="0.25">
      <c r="A13" t="s">
        <v>1126</v>
      </c>
      <c r="B13" s="28">
        <v>-130000</v>
      </c>
      <c r="D13" s="28">
        <v>-130000</v>
      </c>
      <c r="F13" s="28" t="s">
        <v>1135</v>
      </c>
      <c r="G13" s="28">
        <v>-175000</v>
      </c>
    </row>
    <row r="14" spans="1:7" x14ac:dyDescent="0.25">
      <c r="A14" t="s">
        <v>1127</v>
      </c>
      <c r="B14" s="28">
        <v>-130000</v>
      </c>
      <c r="D14" s="28">
        <v>-130000</v>
      </c>
      <c r="F14" s="28" t="s">
        <v>1128</v>
      </c>
      <c r="G14" s="28">
        <v>-250000</v>
      </c>
    </row>
    <row r="15" spans="1:7" x14ac:dyDescent="0.25">
      <c r="A15" t="s">
        <v>527</v>
      </c>
      <c r="B15" s="28">
        <f>-45000*2</f>
        <v>-90000</v>
      </c>
      <c r="D15" s="28">
        <f>-45000*2</f>
        <v>-90000</v>
      </c>
    </row>
    <row r="16" spans="1:7" x14ac:dyDescent="0.25">
      <c r="A16" t="s">
        <v>1128</v>
      </c>
      <c r="B16" s="28">
        <v>-100000</v>
      </c>
      <c r="D16" s="28">
        <v>-100000</v>
      </c>
      <c r="F16" s="28" t="s">
        <v>1136</v>
      </c>
      <c r="G16" s="28">
        <f>+B20+B21</f>
        <v>3131852.4720000001</v>
      </c>
    </row>
    <row r="17" spans="1:7" x14ac:dyDescent="0.25">
      <c r="A17" t="s">
        <v>1129</v>
      </c>
      <c r="B17" s="28">
        <v>-20548</v>
      </c>
      <c r="D17" s="28">
        <v>-20548</v>
      </c>
    </row>
    <row r="18" spans="1:7" x14ac:dyDescent="0.25">
      <c r="A18" t="s">
        <v>1130</v>
      </c>
      <c r="B18" s="28">
        <f>SUM(B13:B17)</f>
        <v>-470548</v>
      </c>
      <c r="D18" s="28">
        <f>SUM(D13:D17)</f>
        <v>-470548</v>
      </c>
      <c r="G18" s="28">
        <f>SUM(G1:G17)</f>
        <v>-3980261.4669999992</v>
      </c>
    </row>
    <row r="19" spans="1:7" ht="7.5" customHeight="1" x14ac:dyDescent="0.25"/>
    <row r="20" spans="1:7" x14ac:dyDescent="0.25">
      <c r="A20" t="s">
        <v>868</v>
      </c>
      <c r="B20" s="28">
        <f>+B18+B12</f>
        <v>2831852.4720000001</v>
      </c>
      <c r="D20" s="28">
        <f>+D18+D12</f>
        <v>3270162.4720000001</v>
      </c>
    </row>
    <row r="21" spans="1:7" x14ac:dyDescent="0.25">
      <c r="A21" t="s">
        <v>1131</v>
      </c>
      <c r="B21" s="28">
        <v>300000</v>
      </c>
      <c r="D21" s="28">
        <v>300000</v>
      </c>
    </row>
    <row r="23" spans="1:7" x14ac:dyDescent="0.25">
      <c r="B23" s="28">
        <v>5200000</v>
      </c>
      <c r="D23" s="28">
        <v>5200000</v>
      </c>
    </row>
    <row r="24" spans="1:7" x14ac:dyDescent="0.25">
      <c r="B24" s="28">
        <f>+B23-B21-B20</f>
        <v>2068147.5279999999</v>
      </c>
      <c r="D24" s="28">
        <f>+D23-D21-D20</f>
        <v>1629837.5279999999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R32"/>
  <sheetViews>
    <sheetView workbookViewId="0">
      <selection activeCell="I29" sqref="I29"/>
    </sheetView>
  </sheetViews>
  <sheetFormatPr baseColWidth="10" defaultRowHeight="15" x14ac:dyDescent="0.25"/>
  <cols>
    <col min="1" max="1" width="30" style="28" bestFit="1" customWidth="1"/>
    <col min="2" max="2" width="11" style="28" bestFit="1" customWidth="1"/>
    <col min="3" max="3" width="11.42578125" style="28"/>
    <col min="4" max="4" width="11.7109375" style="28" bestFit="1" customWidth="1"/>
    <col min="5" max="5" width="13.28515625" style="28" bestFit="1" customWidth="1"/>
    <col min="6" max="9" width="11.42578125" style="28"/>
    <col min="10" max="10" width="11.7109375" style="28" bestFit="1" customWidth="1"/>
    <col min="11" max="12" width="11.42578125" style="28"/>
    <col min="13" max="13" width="11.7109375" style="28" bestFit="1" customWidth="1"/>
    <col min="14" max="14" width="12.42578125" style="28" bestFit="1" customWidth="1"/>
    <col min="15" max="16384" width="11.42578125" style="28"/>
  </cols>
  <sheetData>
    <row r="1" spans="1:18" x14ac:dyDescent="0.25">
      <c r="A1" s="1062" t="s">
        <v>45</v>
      </c>
      <c r="B1" s="1062"/>
      <c r="D1" s="1062" t="s">
        <v>46</v>
      </c>
      <c r="E1" s="1062"/>
      <c r="G1" s="1062" t="s">
        <v>1423</v>
      </c>
      <c r="H1" s="1062"/>
      <c r="I1" s="798"/>
      <c r="J1" s="1063" t="s">
        <v>1133</v>
      </c>
      <c r="K1" s="1057"/>
      <c r="M1" s="1062" t="s">
        <v>103</v>
      </c>
      <c r="N1" s="1062"/>
      <c r="P1" s="1056" t="s">
        <v>111</v>
      </c>
      <c r="Q1" s="1057"/>
    </row>
    <row r="2" spans="1:18" s="553" customFormat="1" x14ac:dyDescent="0.25">
      <c r="A2" s="807">
        <v>-46719.411</v>
      </c>
      <c r="B2" s="901">
        <v>91083.679000000004</v>
      </c>
      <c r="D2" s="901">
        <f>-92470.74*0.985</f>
        <v>-91083.678899999999</v>
      </c>
      <c r="E2" s="807">
        <v>46719.411</v>
      </c>
      <c r="I2" s="799"/>
      <c r="J2" s="900">
        <f>-23651.85*0.85</f>
        <v>-20104.072499999998</v>
      </c>
      <c r="K2" s="810">
        <v>37925.739000000001</v>
      </c>
      <c r="M2" s="809">
        <f>-142989.81*0.85</f>
        <v>-121541.3385</v>
      </c>
      <c r="P2" s="808">
        <f>-6422.74*0.85</f>
        <v>-5459.3289999999997</v>
      </c>
      <c r="Q2" s="810">
        <v>60457.521000000001</v>
      </c>
    </row>
    <row r="3" spans="1:18" s="553" customFormat="1" x14ac:dyDescent="0.25">
      <c r="A3" s="807">
        <v>-147000</v>
      </c>
      <c r="B3" s="796"/>
      <c r="D3" s="796"/>
      <c r="E3" s="807">
        <v>147000</v>
      </c>
      <c r="I3" s="799"/>
      <c r="J3" s="807">
        <f>-54776.582*0.985</f>
        <v>-53954.933270000001</v>
      </c>
      <c r="K3" s="800"/>
      <c r="M3" s="809">
        <f>-2508.844*0.985</f>
        <v>-2471.2113399999998</v>
      </c>
      <c r="P3" s="808">
        <v>-7465.89</v>
      </c>
      <c r="Q3" s="801"/>
      <c r="R3" s="553">
        <f>+P3/0.85</f>
        <v>-8783.4000000000015</v>
      </c>
    </row>
    <row r="4" spans="1:18" s="553" customFormat="1" x14ac:dyDescent="0.25">
      <c r="A4" s="792">
        <f>-71757.27-76968.649-55989.508</f>
        <v>-204715.427</v>
      </c>
      <c r="B4" s="796"/>
      <c r="D4" s="807">
        <f>-61606.45*0.985</f>
        <v>-60682.353249999993</v>
      </c>
      <c r="E4" s="807">
        <v>24548.928</v>
      </c>
      <c r="I4" s="799"/>
      <c r="J4" s="807">
        <f>-24922.77*0.985</f>
        <v>-24548.928449999999</v>
      </c>
      <c r="K4" s="810">
        <v>60682.353000000003</v>
      </c>
      <c r="P4" s="808">
        <v>-50000</v>
      </c>
      <c r="Q4" s="801"/>
    </row>
    <row r="5" spans="1:18" s="553" customFormat="1" x14ac:dyDescent="0.25">
      <c r="A5" s="553">
        <v>-769382.321</v>
      </c>
      <c r="B5" s="807">
        <v>50000</v>
      </c>
      <c r="E5" s="807">
        <f>-P3</f>
        <v>7465.89</v>
      </c>
      <c r="I5" s="799"/>
      <c r="J5" s="796"/>
      <c r="K5" s="801"/>
      <c r="P5" s="799"/>
      <c r="Q5" s="801"/>
    </row>
    <row r="6" spans="1:18" x14ac:dyDescent="0.25">
      <c r="A6" s="807">
        <f>-75571.901*0.8</f>
        <v>-60457.520799999998</v>
      </c>
      <c r="B6" s="900">
        <v>20104.073</v>
      </c>
      <c r="E6" s="809">
        <f>-A5</f>
        <v>769382.321</v>
      </c>
      <c r="I6" s="802" t="s">
        <v>0</v>
      </c>
      <c r="J6" s="693"/>
      <c r="K6" s="687"/>
      <c r="P6" s="802"/>
      <c r="Q6" s="687"/>
    </row>
    <row r="7" spans="1:18" x14ac:dyDescent="0.25">
      <c r="A7" s="807">
        <f>-38503.288*0.985</f>
        <v>-37925.738680000002</v>
      </c>
      <c r="B7" s="807">
        <v>53954.932999999997</v>
      </c>
      <c r="E7" s="809"/>
      <c r="I7" s="802"/>
      <c r="J7" s="693"/>
      <c r="K7" s="687"/>
      <c r="P7" s="802"/>
      <c r="Q7" s="687"/>
    </row>
    <row r="8" spans="1:18" x14ac:dyDescent="0.25">
      <c r="A8" s="693"/>
      <c r="B8" s="807">
        <v>5459.3289999999997</v>
      </c>
      <c r="E8" s="693"/>
      <c r="I8" s="802"/>
      <c r="K8" s="687"/>
      <c r="P8" s="802"/>
      <c r="Q8" s="687"/>
    </row>
    <row r="9" spans="1:18" x14ac:dyDescent="0.25">
      <c r="B9" s="693"/>
      <c r="I9" s="802"/>
      <c r="K9" s="687"/>
      <c r="P9" s="802"/>
      <c r="Q9" s="687"/>
    </row>
    <row r="10" spans="1:18" x14ac:dyDescent="0.25">
      <c r="B10" s="693"/>
      <c r="I10" s="802"/>
      <c r="K10" s="687"/>
      <c r="P10" s="802"/>
      <c r="Q10" s="687"/>
    </row>
    <row r="11" spans="1:18" x14ac:dyDescent="0.25">
      <c r="I11" s="802"/>
      <c r="K11" s="687"/>
      <c r="P11" s="802"/>
      <c r="Q11" s="687"/>
    </row>
    <row r="12" spans="1:18" x14ac:dyDescent="0.25">
      <c r="I12" s="802"/>
      <c r="K12" s="687"/>
      <c r="P12" s="802"/>
      <c r="Q12" s="687"/>
    </row>
    <row r="13" spans="1:18" x14ac:dyDescent="0.25">
      <c r="I13" s="802"/>
      <c r="K13" s="687"/>
      <c r="P13" s="802"/>
      <c r="Q13" s="687"/>
    </row>
    <row r="14" spans="1:18" s="530" customFormat="1" x14ac:dyDescent="0.25">
      <c r="A14" s="530">
        <f>SUM(A2:A13)</f>
        <v>-1266200.41848</v>
      </c>
      <c r="B14" s="530">
        <f t="shared" ref="B14:N14" si="0">SUM(B2:B13)</f>
        <v>220602.014</v>
      </c>
      <c r="D14" s="530">
        <f t="shared" si="0"/>
        <v>-151766.03214999998</v>
      </c>
      <c r="E14" s="530">
        <f t="shared" si="0"/>
        <v>995116.55</v>
      </c>
      <c r="G14" s="530">
        <f t="shared" si="0"/>
        <v>0</v>
      </c>
      <c r="H14" s="530">
        <f t="shared" si="0"/>
        <v>0</v>
      </c>
      <c r="I14" s="803"/>
      <c r="J14" s="530">
        <f>SUM(J2:J13)</f>
        <v>-98607.934219999996</v>
      </c>
      <c r="K14" s="804">
        <f>SUM(K2:K13)</f>
        <v>98608.092000000004</v>
      </c>
      <c r="M14" s="530">
        <f t="shared" si="0"/>
        <v>-124012.54983999999</v>
      </c>
      <c r="N14" s="530">
        <f t="shared" si="0"/>
        <v>0</v>
      </c>
      <c r="P14" s="803">
        <f t="shared" ref="P14:Q14" si="1">SUM(P2:P13)</f>
        <v>-62925.218999999997</v>
      </c>
      <c r="Q14" s="804">
        <f t="shared" si="1"/>
        <v>60457.521000000001</v>
      </c>
    </row>
    <row r="15" spans="1:18" s="530" customFormat="1" ht="15.75" thickBot="1" x14ac:dyDescent="0.3">
      <c r="A15" s="1060">
        <f>+A14+B14</f>
        <v>-1045598.40448</v>
      </c>
      <c r="B15" s="1060"/>
      <c r="D15" s="1060">
        <f>+D14+E14</f>
        <v>843350.51785000006</v>
      </c>
      <c r="E15" s="1060"/>
      <c r="G15" s="1060">
        <f>+G14+H14</f>
        <v>0</v>
      </c>
      <c r="H15" s="1060"/>
      <c r="I15" s="805"/>
      <c r="J15" s="1061">
        <f>+J14+K14</f>
        <v>0.15778000000864267</v>
      </c>
      <c r="K15" s="1059"/>
      <c r="M15" s="1060">
        <f>+M14+N14</f>
        <v>-124012.54983999999</v>
      </c>
      <c r="N15" s="1060"/>
      <c r="P15" s="1058">
        <f>+P14+Q14</f>
        <v>-2467.6979999999967</v>
      </c>
      <c r="Q15" s="1059"/>
    </row>
    <row r="20" spans="1:7" x14ac:dyDescent="0.25">
      <c r="A20" s="693" t="s">
        <v>1510</v>
      </c>
      <c r="B20" s="693"/>
      <c r="C20" s="693">
        <v>147000</v>
      </c>
      <c r="D20" s="693" t="s">
        <v>1511</v>
      </c>
      <c r="E20" s="806">
        <v>4500000</v>
      </c>
    </row>
    <row r="21" spans="1:7" x14ac:dyDescent="0.25">
      <c r="A21" s="693" t="s">
        <v>1512</v>
      </c>
      <c r="B21" s="693"/>
      <c r="C21" s="693">
        <v>46719.411</v>
      </c>
      <c r="D21" s="812"/>
      <c r="E21" s="806">
        <v>4586000</v>
      </c>
    </row>
    <row r="22" spans="1:7" x14ac:dyDescent="0.25">
      <c r="A22" s="693" t="s">
        <v>1513</v>
      </c>
      <c r="B22" s="693"/>
      <c r="C22" s="693">
        <v>23651.85</v>
      </c>
      <c r="D22" s="693"/>
      <c r="E22" s="806" t="s">
        <v>72</v>
      </c>
      <c r="G22" s="28">
        <f>+C22*0.15</f>
        <v>3547.7774999999997</v>
      </c>
    </row>
    <row r="23" spans="1:7" x14ac:dyDescent="0.25">
      <c r="A23" s="693" t="s">
        <v>1514</v>
      </c>
      <c r="B23" s="693"/>
      <c r="C23" s="693">
        <v>54776.582000000002</v>
      </c>
      <c r="D23" s="693"/>
      <c r="E23" s="806" t="s">
        <v>72</v>
      </c>
      <c r="G23" s="28">
        <f>+C23*1.5%</f>
        <v>821.64873</v>
      </c>
    </row>
    <row r="24" spans="1:7" x14ac:dyDescent="0.25">
      <c r="A24" s="693" t="s">
        <v>1515</v>
      </c>
      <c r="B24" s="693"/>
      <c r="C24" s="693">
        <v>6422.74</v>
      </c>
      <c r="D24" s="693"/>
      <c r="E24" s="806" t="s">
        <v>72</v>
      </c>
    </row>
    <row r="25" spans="1:7" x14ac:dyDescent="0.25">
      <c r="A25" s="693" t="s">
        <v>1516</v>
      </c>
      <c r="B25" s="693"/>
      <c r="C25" s="693">
        <v>24922.77</v>
      </c>
      <c r="D25" s="693"/>
      <c r="E25" s="806" t="s">
        <v>72</v>
      </c>
    </row>
    <row r="26" spans="1:7" x14ac:dyDescent="0.25">
      <c r="A26" s="693" t="s">
        <v>1517</v>
      </c>
      <c r="B26" s="693"/>
      <c r="C26" s="693">
        <v>4498.8</v>
      </c>
      <c r="D26" s="693"/>
      <c r="E26" s="806" t="s">
        <v>72</v>
      </c>
    </row>
    <row r="27" spans="1:7" x14ac:dyDescent="0.25">
      <c r="A27" s="693" t="s">
        <v>1518</v>
      </c>
      <c r="B27" s="693"/>
      <c r="C27" s="693">
        <v>75571.900999999998</v>
      </c>
      <c r="D27" s="693"/>
      <c r="E27" s="806" t="s">
        <v>72</v>
      </c>
    </row>
    <row r="28" spans="1:7" x14ac:dyDescent="0.25">
      <c r="A28" s="793" t="s">
        <v>1519</v>
      </c>
      <c r="B28" s="793"/>
      <c r="C28" s="793">
        <v>213047.49</v>
      </c>
      <c r="D28" s="793"/>
      <c r="E28" s="811" t="s">
        <v>72</v>
      </c>
    </row>
    <row r="29" spans="1:7" x14ac:dyDescent="0.25">
      <c r="A29" s="793" t="s">
        <v>1520</v>
      </c>
      <c r="B29" s="793"/>
      <c r="C29" s="793">
        <v>96277.316999999995</v>
      </c>
      <c r="D29" s="793"/>
      <c r="E29" s="811" t="s">
        <v>72</v>
      </c>
    </row>
    <row r="30" spans="1:7" x14ac:dyDescent="0.25">
      <c r="A30" s="28" t="s">
        <v>1521</v>
      </c>
      <c r="C30" s="28">
        <v>142989.81</v>
      </c>
      <c r="E30" s="797"/>
    </row>
    <row r="31" spans="1:7" x14ac:dyDescent="0.25">
      <c r="A31" s="28" t="s">
        <v>1522</v>
      </c>
      <c r="C31" s="28">
        <v>2508.8440000000001</v>
      </c>
      <c r="E31" s="797"/>
    </row>
    <row r="32" spans="1:7" x14ac:dyDescent="0.25">
      <c r="A32" s="796" t="s">
        <v>1523</v>
      </c>
      <c r="B32" s="796"/>
      <c r="C32" s="796">
        <v>61606.45</v>
      </c>
    </row>
  </sheetData>
  <mergeCells count="12">
    <mergeCell ref="P1:Q1"/>
    <mergeCell ref="P15:Q15"/>
    <mergeCell ref="A15:B15"/>
    <mergeCell ref="D15:E15"/>
    <mergeCell ref="G15:H15"/>
    <mergeCell ref="J15:K15"/>
    <mergeCell ref="M15:N15"/>
    <mergeCell ref="A1:B1"/>
    <mergeCell ref="D1:E1"/>
    <mergeCell ref="G1:H1"/>
    <mergeCell ref="J1:K1"/>
    <mergeCell ref="M1:N1"/>
  </mergeCells>
  <pageMargins left="0.7" right="0.7" top="0.75" bottom="0.75" header="0.3" footer="0.3"/>
  <pageSetup paperSize="9" orientation="portrait" horizontalDpi="180" verticalDpi="180" r:id="rId1"/>
  <ignoredErrors>
    <ignoredError sqref="J4" 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56"/>
  <sheetViews>
    <sheetView workbookViewId="0">
      <selection activeCell="A2" sqref="A2:I23"/>
    </sheetView>
  </sheetViews>
  <sheetFormatPr baseColWidth="10" defaultRowHeight="15" x14ac:dyDescent="0.25"/>
  <cols>
    <col min="1" max="1" width="29" bestFit="1" customWidth="1"/>
    <col min="2" max="2" width="15.42578125" bestFit="1" customWidth="1"/>
    <col min="3" max="3" width="10.140625" bestFit="1" customWidth="1"/>
    <col min="4" max="4" width="16.28515625" bestFit="1" customWidth="1"/>
    <col min="5" max="5" width="7.5703125" bestFit="1" customWidth="1"/>
    <col min="6" max="6" width="10.28515625" bestFit="1" customWidth="1"/>
    <col min="7" max="7" width="12.5703125" bestFit="1" customWidth="1"/>
    <col min="8" max="8" width="9.5703125" bestFit="1" customWidth="1"/>
    <col min="9" max="9" width="13.140625" bestFit="1" customWidth="1"/>
  </cols>
  <sheetData>
    <row r="1" spans="1:9" ht="15.75" x14ac:dyDescent="0.25">
      <c r="A1" s="819" t="s">
        <v>1550</v>
      </c>
      <c r="B1" s="820"/>
      <c r="C1" s="820"/>
      <c r="D1" s="821" t="s">
        <v>1551</v>
      </c>
      <c r="E1" s="820"/>
      <c r="F1" s="820"/>
      <c r="G1" s="820"/>
      <c r="H1" s="820"/>
      <c r="I1" s="820"/>
    </row>
    <row r="2" spans="1:9" ht="27" thickBot="1" x14ac:dyDescent="0.3">
      <c r="A2" s="822" t="s">
        <v>1552</v>
      </c>
      <c r="B2" s="822" t="s">
        <v>1553</v>
      </c>
      <c r="C2" s="823" t="s">
        <v>1554</v>
      </c>
      <c r="D2" s="824" t="s">
        <v>1555</v>
      </c>
      <c r="E2" s="824" t="s">
        <v>1556</v>
      </c>
      <c r="F2" s="824" t="s">
        <v>1557</v>
      </c>
      <c r="G2" s="824" t="s">
        <v>1558</v>
      </c>
      <c r="H2" s="824" t="s">
        <v>914</v>
      </c>
      <c r="I2" s="822" t="s">
        <v>1559</v>
      </c>
    </row>
    <row r="3" spans="1:9" x14ac:dyDescent="0.25">
      <c r="A3" s="825" t="s">
        <v>915</v>
      </c>
      <c r="B3" s="826" t="s">
        <v>1560</v>
      </c>
      <c r="C3" s="1"/>
      <c r="D3" s="827">
        <v>68480</v>
      </c>
      <c r="E3" s="827">
        <v>74900</v>
      </c>
      <c r="F3" s="828"/>
      <c r="G3" s="827">
        <v>82640</v>
      </c>
      <c r="H3" s="828"/>
      <c r="I3" s="829">
        <v>226020</v>
      </c>
    </row>
    <row r="4" spans="1:9" x14ac:dyDescent="0.25">
      <c r="A4" s="1"/>
      <c r="B4" s="830" t="s">
        <v>1561</v>
      </c>
      <c r="C4" s="1"/>
      <c r="D4" s="831">
        <v>154126</v>
      </c>
      <c r="E4" s="831">
        <v>60200</v>
      </c>
      <c r="F4" s="831">
        <v>33060</v>
      </c>
      <c r="G4" s="832"/>
      <c r="H4" s="831">
        <v>67434</v>
      </c>
      <c r="I4" s="833">
        <v>314820</v>
      </c>
    </row>
    <row r="5" spans="1:9" x14ac:dyDescent="0.25">
      <c r="A5" s="1"/>
      <c r="B5" s="834" t="s">
        <v>1562</v>
      </c>
      <c r="C5" s="1"/>
      <c r="D5" s="835">
        <v>61953</v>
      </c>
      <c r="E5" s="835">
        <v>60620</v>
      </c>
      <c r="F5" s="836"/>
      <c r="G5" s="836"/>
      <c r="H5" s="835">
        <v>110420</v>
      </c>
      <c r="I5" s="837">
        <v>232993</v>
      </c>
    </row>
    <row r="6" spans="1:9" x14ac:dyDescent="0.25">
      <c r="A6" s="1"/>
      <c r="B6" s="838" t="s">
        <v>1563</v>
      </c>
      <c r="C6" s="1"/>
      <c r="D6" s="839">
        <v>51304</v>
      </c>
      <c r="E6" s="839">
        <v>33220</v>
      </c>
      <c r="F6" s="839">
        <v>33240</v>
      </c>
      <c r="G6" s="839">
        <v>85000</v>
      </c>
      <c r="H6" s="839">
        <v>98400</v>
      </c>
      <c r="I6" s="840">
        <v>301164</v>
      </c>
    </row>
    <row r="7" spans="1:9" x14ac:dyDescent="0.25">
      <c r="A7" s="1"/>
      <c r="B7" s="841" t="s">
        <v>1564</v>
      </c>
      <c r="C7" s="1"/>
      <c r="D7" s="842">
        <v>27620</v>
      </c>
      <c r="E7" s="843"/>
      <c r="F7" s="842">
        <v>33500</v>
      </c>
      <c r="G7" s="842">
        <v>124960</v>
      </c>
      <c r="H7" s="842">
        <v>116160</v>
      </c>
      <c r="I7" s="844">
        <v>302240</v>
      </c>
    </row>
    <row r="8" spans="1:9" x14ac:dyDescent="0.25">
      <c r="A8" s="1"/>
      <c r="B8" s="845" t="s">
        <v>1565</v>
      </c>
      <c r="C8" s="1"/>
      <c r="D8" s="846"/>
      <c r="E8" s="847">
        <v>10660</v>
      </c>
      <c r="F8" s="846"/>
      <c r="G8" s="847">
        <v>81880</v>
      </c>
      <c r="H8" s="847">
        <v>128380</v>
      </c>
      <c r="I8" s="848">
        <v>220920</v>
      </c>
    </row>
    <row r="9" spans="1:9" x14ac:dyDescent="0.25">
      <c r="A9" s="1"/>
      <c r="B9" s="849" t="s">
        <v>1566</v>
      </c>
      <c r="C9" s="1"/>
      <c r="D9" s="850"/>
      <c r="E9" s="851">
        <v>12980</v>
      </c>
      <c r="F9" s="850"/>
      <c r="G9" s="851">
        <v>39040</v>
      </c>
      <c r="H9" s="851">
        <v>212240</v>
      </c>
      <c r="I9" s="852">
        <v>264260</v>
      </c>
    </row>
    <row r="10" spans="1:9" x14ac:dyDescent="0.25">
      <c r="A10" s="1"/>
      <c r="B10" s="853" t="s">
        <v>1567</v>
      </c>
      <c r="C10" s="1"/>
      <c r="D10" s="854"/>
      <c r="E10" s="855">
        <v>8540</v>
      </c>
      <c r="F10" s="855">
        <v>30800</v>
      </c>
      <c r="G10" s="855">
        <v>40980</v>
      </c>
      <c r="H10" s="855">
        <v>31860</v>
      </c>
      <c r="I10" s="856">
        <v>112180</v>
      </c>
    </row>
    <row r="11" spans="1:9" x14ac:dyDescent="0.25">
      <c r="A11" s="1"/>
      <c r="B11" s="857" t="s">
        <v>1568</v>
      </c>
      <c r="C11" s="1"/>
      <c r="D11" s="858">
        <v>82900</v>
      </c>
      <c r="E11" s="858">
        <v>35420</v>
      </c>
      <c r="F11" s="858">
        <v>26540</v>
      </c>
      <c r="G11" s="858">
        <v>84860</v>
      </c>
      <c r="H11" s="858">
        <v>88900</v>
      </c>
      <c r="I11" s="859">
        <v>318620</v>
      </c>
    </row>
    <row r="12" spans="1:9" x14ac:dyDescent="0.25">
      <c r="A12" s="1"/>
      <c r="B12" s="860" t="s">
        <v>1569</v>
      </c>
      <c r="C12" s="1"/>
      <c r="D12" s="861">
        <v>29240</v>
      </c>
      <c r="E12" s="862"/>
      <c r="F12" s="861">
        <v>49520</v>
      </c>
      <c r="G12" s="861">
        <v>41680</v>
      </c>
      <c r="H12" s="861">
        <v>294520</v>
      </c>
      <c r="I12" s="863">
        <v>414960</v>
      </c>
    </row>
    <row r="13" spans="1:9" x14ac:dyDescent="0.25">
      <c r="A13" s="1"/>
      <c r="B13" s="864" t="s">
        <v>1570</v>
      </c>
      <c r="C13" s="1"/>
      <c r="D13" s="865"/>
      <c r="E13" s="866">
        <v>21980</v>
      </c>
      <c r="F13" s="866">
        <v>24960</v>
      </c>
      <c r="G13" s="866">
        <v>77760</v>
      </c>
      <c r="H13" s="866">
        <v>271720</v>
      </c>
      <c r="I13" s="867">
        <v>396420</v>
      </c>
    </row>
    <row r="14" spans="1:9" hidden="1" x14ac:dyDescent="0.25">
      <c r="A14" s="1"/>
      <c r="B14" s="825" t="s">
        <v>1571</v>
      </c>
      <c r="C14" s="868">
        <v>43802</v>
      </c>
      <c r="D14" s="1"/>
      <c r="E14" s="1"/>
      <c r="F14" s="1"/>
      <c r="G14" s="869">
        <v>41500</v>
      </c>
      <c r="H14" s="869">
        <v>29020</v>
      </c>
      <c r="I14" s="870">
        <v>70520</v>
      </c>
    </row>
    <row r="15" spans="1:9" hidden="1" x14ac:dyDescent="0.25">
      <c r="A15" s="1"/>
      <c r="B15" s="1"/>
      <c r="C15" s="868">
        <v>43805</v>
      </c>
      <c r="D15" s="1"/>
      <c r="E15" s="1"/>
      <c r="F15" s="869">
        <v>13680</v>
      </c>
      <c r="G15" s="1"/>
      <c r="H15" s="1"/>
      <c r="I15" s="870">
        <v>13680</v>
      </c>
    </row>
    <row r="16" spans="1:9" hidden="1" x14ac:dyDescent="0.25">
      <c r="A16" s="1"/>
      <c r="B16" s="1"/>
      <c r="C16" s="868">
        <v>43806</v>
      </c>
      <c r="D16" s="1"/>
      <c r="E16" s="1"/>
      <c r="F16" s="1"/>
      <c r="G16" s="1"/>
      <c r="H16" s="869">
        <v>29340</v>
      </c>
      <c r="I16" s="870">
        <v>29340</v>
      </c>
    </row>
    <row r="17" spans="1:9" hidden="1" x14ac:dyDescent="0.25">
      <c r="A17" s="1"/>
      <c r="B17" s="1"/>
      <c r="C17" s="868">
        <v>43809</v>
      </c>
      <c r="D17" s="1"/>
      <c r="E17" s="869">
        <v>26940</v>
      </c>
      <c r="F17" s="1"/>
      <c r="G17" s="1"/>
      <c r="H17" s="869">
        <v>37560</v>
      </c>
      <c r="I17" s="870">
        <v>64500</v>
      </c>
    </row>
    <row r="18" spans="1:9" hidden="1" x14ac:dyDescent="0.25">
      <c r="A18" s="1"/>
      <c r="B18" s="1"/>
      <c r="C18" s="868">
        <v>43813</v>
      </c>
      <c r="D18" s="1"/>
      <c r="E18" s="1"/>
      <c r="F18" s="869">
        <v>13440</v>
      </c>
      <c r="G18" s="1"/>
      <c r="H18" s="1"/>
      <c r="I18" s="870">
        <v>13440</v>
      </c>
    </row>
    <row r="19" spans="1:9" hidden="1" x14ac:dyDescent="0.25">
      <c r="A19" s="1"/>
      <c r="B19" s="1"/>
      <c r="C19" s="868">
        <v>43815</v>
      </c>
      <c r="D19" s="1"/>
      <c r="E19" s="1"/>
      <c r="F19" s="1"/>
      <c r="G19" s="1"/>
      <c r="H19" s="869">
        <v>8020</v>
      </c>
      <c r="I19" s="870">
        <v>8020</v>
      </c>
    </row>
    <row r="20" spans="1:9" hidden="1" x14ac:dyDescent="0.25">
      <c r="A20" s="1"/>
      <c r="B20" s="1"/>
      <c r="C20" s="868">
        <v>43817</v>
      </c>
      <c r="D20" s="1"/>
      <c r="E20" s="1"/>
      <c r="F20" s="1"/>
      <c r="G20" s="869">
        <v>40500</v>
      </c>
      <c r="H20" s="1"/>
      <c r="I20" s="870">
        <v>40500</v>
      </c>
    </row>
    <row r="21" spans="1:9" hidden="1" x14ac:dyDescent="0.25">
      <c r="A21" s="1"/>
      <c r="B21" s="1"/>
      <c r="C21" s="868">
        <v>43819</v>
      </c>
      <c r="D21" s="1"/>
      <c r="E21" s="869">
        <v>30449</v>
      </c>
      <c r="F21" s="1"/>
      <c r="G21" s="1"/>
      <c r="H21" s="869">
        <v>23869</v>
      </c>
      <c r="I21" s="870">
        <v>54318</v>
      </c>
    </row>
    <row r="22" spans="1:9" ht="15.75" thickBot="1" x14ac:dyDescent="0.3">
      <c r="A22" s="871"/>
      <c r="B22" s="872" t="s">
        <v>1572</v>
      </c>
      <c r="C22" s="872"/>
      <c r="D22" s="872"/>
      <c r="E22" s="873">
        <v>57389</v>
      </c>
      <c r="F22" s="873">
        <v>27120</v>
      </c>
      <c r="G22" s="873">
        <v>82000</v>
      </c>
      <c r="H22" s="873">
        <v>127809</v>
      </c>
      <c r="I22" s="874">
        <v>294318</v>
      </c>
    </row>
    <row r="23" spans="1:9" ht="15.75" thickBot="1" x14ac:dyDescent="0.3">
      <c r="A23" s="875" t="s">
        <v>1573</v>
      </c>
      <c r="B23" s="876"/>
      <c r="C23" s="876"/>
      <c r="D23" s="877">
        <v>475623</v>
      </c>
      <c r="E23" s="877">
        <v>375909</v>
      </c>
      <c r="F23" s="877">
        <v>258740</v>
      </c>
      <c r="G23" s="877">
        <v>740800</v>
      </c>
      <c r="H23" s="877">
        <v>1547843</v>
      </c>
      <c r="I23" s="878">
        <v>3398915</v>
      </c>
    </row>
    <row r="24" spans="1:9" x14ac:dyDescent="0.25">
      <c r="A24" s="825" t="s">
        <v>1574</v>
      </c>
      <c r="B24" s="838" t="s">
        <v>1563</v>
      </c>
      <c r="C24" s="1"/>
      <c r="D24" s="879"/>
      <c r="E24" s="879"/>
      <c r="F24" s="879"/>
      <c r="G24" s="839">
        <v>2859</v>
      </c>
      <c r="H24" s="879"/>
      <c r="I24" s="840">
        <v>2859</v>
      </c>
    </row>
    <row r="25" spans="1:9" x14ac:dyDescent="0.25">
      <c r="A25" s="1"/>
      <c r="B25" s="845" t="s">
        <v>1565</v>
      </c>
      <c r="C25" s="1"/>
      <c r="D25" s="846"/>
      <c r="E25" s="846"/>
      <c r="F25" s="846"/>
      <c r="G25" s="847">
        <v>4282</v>
      </c>
      <c r="H25" s="846"/>
      <c r="I25" s="848">
        <v>4282</v>
      </c>
    </row>
    <row r="26" spans="1:9" x14ac:dyDescent="0.25">
      <c r="A26" s="1"/>
      <c r="B26" s="853" t="s">
        <v>1567</v>
      </c>
      <c r="C26" s="1"/>
      <c r="D26" s="854"/>
      <c r="E26" s="854"/>
      <c r="F26" s="854"/>
      <c r="G26" s="855">
        <v>3561</v>
      </c>
      <c r="H26" s="854"/>
      <c r="I26" s="856">
        <v>3561</v>
      </c>
    </row>
    <row r="27" spans="1:9" x14ac:dyDescent="0.25">
      <c r="A27" s="1"/>
      <c r="B27" s="857" t="s">
        <v>1568</v>
      </c>
      <c r="C27" s="1"/>
      <c r="D27" s="880">
        <v>646</v>
      </c>
      <c r="E27" s="880"/>
      <c r="F27" s="880"/>
      <c r="G27" s="858">
        <v>3544</v>
      </c>
      <c r="H27" s="880"/>
      <c r="I27" s="859">
        <v>4190</v>
      </c>
    </row>
    <row r="28" spans="1:9" ht="15.75" thickBot="1" x14ac:dyDescent="0.3">
      <c r="A28" s="871"/>
      <c r="B28" s="860" t="s">
        <v>1569</v>
      </c>
      <c r="C28" s="1"/>
      <c r="D28" s="862"/>
      <c r="E28" s="862"/>
      <c r="F28" s="862"/>
      <c r="G28" s="861">
        <v>2602</v>
      </c>
      <c r="H28" s="862"/>
      <c r="I28" s="863">
        <v>2602</v>
      </c>
    </row>
    <row r="29" spans="1:9" ht="15.75" thickBot="1" x14ac:dyDescent="0.3">
      <c r="A29" s="881" t="s">
        <v>1575</v>
      </c>
      <c r="B29" s="882"/>
      <c r="C29" s="882"/>
      <c r="D29" s="882">
        <v>646</v>
      </c>
      <c r="E29" s="882"/>
      <c r="F29" s="882"/>
      <c r="G29" s="877">
        <v>16848</v>
      </c>
      <c r="H29" s="882"/>
      <c r="I29" s="878">
        <v>17494</v>
      </c>
    </row>
    <row r="30" spans="1:9" x14ac:dyDescent="0.25">
      <c r="A30" s="825" t="s">
        <v>1576</v>
      </c>
      <c r="B30" s="826" t="s">
        <v>1560</v>
      </c>
      <c r="C30" s="1"/>
      <c r="D30" s="828"/>
      <c r="E30" s="828"/>
      <c r="F30" s="828"/>
      <c r="G30" s="827">
        <v>33245</v>
      </c>
      <c r="H30" s="828"/>
      <c r="I30" s="829">
        <v>33245</v>
      </c>
    </row>
    <row r="31" spans="1:9" x14ac:dyDescent="0.25">
      <c r="A31" s="1"/>
      <c r="B31" s="830" t="s">
        <v>1561</v>
      </c>
      <c r="C31" s="1"/>
      <c r="D31" s="831">
        <v>112132</v>
      </c>
      <c r="E31" s="832"/>
      <c r="F31" s="832"/>
      <c r="G31" s="831">
        <v>26504</v>
      </c>
      <c r="H31" s="832"/>
      <c r="I31" s="833">
        <v>138636</v>
      </c>
    </row>
    <row r="32" spans="1:9" x14ac:dyDescent="0.25">
      <c r="A32" s="1"/>
      <c r="B32" s="834" t="s">
        <v>1562</v>
      </c>
      <c r="C32" s="1"/>
      <c r="D32" s="835">
        <v>182907</v>
      </c>
      <c r="E32" s="836"/>
      <c r="F32" s="836"/>
      <c r="G32" s="836"/>
      <c r="H32" s="836"/>
      <c r="I32" s="837">
        <v>182907</v>
      </c>
    </row>
    <row r="33" spans="1:9" x14ac:dyDescent="0.25">
      <c r="A33" s="1"/>
      <c r="B33" s="838" t="s">
        <v>1563</v>
      </c>
      <c r="C33" s="1"/>
      <c r="D33" s="839">
        <v>121016</v>
      </c>
      <c r="E33" s="879"/>
      <c r="F33" s="879"/>
      <c r="G33" s="839">
        <v>36266</v>
      </c>
      <c r="H33" s="879"/>
      <c r="I33" s="840">
        <v>157282</v>
      </c>
    </row>
    <row r="34" spans="1:9" x14ac:dyDescent="0.25">
      <c r="A34" s="1"/>
      <c r="B34" s="841" t="s">
        <v>1564</v>
      </c>
      <c r="C34" s="1"/>
      <c r="D34" s="843"/>
      <c r="E34" s="843"/>
      <c r="F34" s="843"/>
      <c r="G34" s="842">
        <v>26510</v>
      </c>
      <c r="H34" s="843"/>
      <c r="I34" s="844">
        <v>26510</v>
      </c>
    </row>
    <row r="35" spans="1:9" x14ac:dyDescent="0.25">
      <c r="A35" s="1"/>
      <c r="B35" s="845" t="s">
        <v>1565</v>
      </c>
      <c r="C35" s="1"/>
      <c r="D35" s="846"/>
      <c r="E35" s="846"/>
      <c r="F35" s="846"/>
      <c r="G35" s="847">
        <v>26649</v>
      </c>
      <c r="H35" s="846"/>
      <c r="I35" s="848">
        <v>26649</v>
      </c>
    </row>
    <row r="36" spans="1:9" x14ac:dyDescent="0.25">
      <c r="A36" s="1"/>
      <c r="B36" s="849" t="s">
        <v>1566</v>
      </c>
      <c r="C36" s="1"/>
      <c r="D36" s="850"/>
      <c r="E36" s="850"/>
      <c r="F36" s="850"/>
      <c r="G36" s="851">
        <v>33436</v>
      </c>
      <c r="H36" s="850"/>
      <c r="I36" s="852">
        <v>33436</v>
      </c>
    </row>
    <row r="37" spans="1:9" x14ac:dyDescent="0.25">
      <c r="A37" s="1"/>
      <c r="B37" s="853" t="s">
        <v>1567</v>
      </c>
      <c r="C37" s="1"/>
      <c r="D37" s="854"/>
      <c r="E37" s="854"/>
      <c r="F37" s="854"/>
      <c r="G37" s="855">
        <v>42005</v>
      </c>
      <c r="H37" s="854"/>
      <c r="I37" s="856">
        <v>42005</v>
      </c>
    </row>
    <row r="38" spans="1:9" x14ac:dyDescent="0.25">
      <c r="A38" s="1"/>
      <c r="B38" s="857" t="s">
        <v>1568</v>
      </c>
      <c r="C38" s="1"/>
      <c r="D38" s="880"/>
      <c r="E38" s="880"/>
      <c r="F38" s="880"/>
      <c r="G38" s="858">
        <v>21051</v>
      </c>
      <c r="H38" s="880"/>
      <c r="I38" s="859">
        <v>21051</v>
      </c>
    </row>
    <row r="39" spans="1:9" x14ac:dyDescent="0.25">
      <c r="A39" s="1"/>
      <c r="B39" s="860" t="s">
        <v>1569</v>
      </c>
      <c r="C39" s="1"/>
      <c r="D39" s="862"/>
      <c r="E39" s="862"/>
      <c r="F39" s="862"/>
      <c r="G39" s="861">
        <v>36454</v>
      </c>
      <c r="H39" s="861">
        <v>96319</v>
      </c>
      <c r="I39" s="863">
        <v>132773</v>
      </c>
    </row>
    <row r="40" spans="1:9" x14ac:dyDescent="0.25">
      <c r="A40" s="1"/>
      <c r="B40" s="864" t="s">
        <v>1570</v>
      </c>
      <c r="C40" s="1"/>
      <c r="D40" s="865"/>
      <c r="E40" s="865"/>
      <c r="F40" s="865"/>
      <c r="G40" s="866">
        <v>28442</v>
      </c>
      <c r="H40" s="865"/>
      <c r="I40" s="867">
        <v>28442</v>
      </c>
    </row>
    <row r="41" spans="1:9" x14ac:dyDescent="0.25">
      <c r="A41" s="1"/>
      <c r="B41" s="825" t="s">
        <v>1571</v>
      </c>
      <c r="C41" s="868">
        <v>43804</v>
      </c>
      <c r="D41" s="1"/>
      <c r="E41" s="1"/>
      <c r="F41" s="1"/>
      <c r="G41" s="869">
        <v>9721</v>
      </c>
      <c r="H41" s="1"/>
      <c r="I41" s="870">
        <v>9721</v>
      </c>
    </row>
    <row r="42" spans="1:9" x14ac:dyDescent="0.25">
      <c r="A42" s="1"/>
      <c r="B42" s="1"/>
      <c r="C42" s="868">
        <v>43805</v>
      </c>
      <c r="D42" s="1"/>
      <c r="E42" s="1"/>
      <c r="F42" s="1"/>
      <c r="G42" s="869">
        <v>5769</v>
      </c>
      <c r="H42" s="1"/>
      <c r="I42" s="870">
        <v>5769</v>
      </c>
    </row>
    <row r="43" spans="1:9" x14ac:dyDescent="0.25">
      <c r="A43" s="1"/>
      <c r="B43" s="1"/>
      <c r="C43" s="868">
        <v>43808</v>
      </c>
      <c r="D43" s="1"/>
      <c r="E43" s="1"/>
      <c r="F43" s="1"/>
      <c r="G43" s="869">
        <v>4006</v>
      </c>
      <c r="H43" s="1"/>
      <c r="I43" s="870">
        <v>4006</v>
      </c>
    </row>
    <row r="44" spans="1:9" x14ac:dyDescent="0.25">
      <c r="A44" s="1"/>
      <c r="B44" s="1"/>
      <c r="C44" s="868">
        <v>43816</v>
      </c>
      <c r="D44" s="1"/>
      <c r="E44" s="1"/>
      <c r="F44" s="1"/>
      <c r="G44" s="869">
        <v>4844</v>
      </c>
      <c r="H44" s="1"/>
      <c r="I44" s="870">
        <v>4844</v>
      </c>
    </row>
    <row r="45" spans="1:9" x14ac:dyDescent="0.25">
      <c r="A45" s="1"/>
      <c r="B45" s="1"/>
      <c r="C45" s="868">
        <v>43819</v>
      </c>
      <c r="D45" s="1"/>
      <c r="E45" s="1"/>
      <c r="F45" s="1"/>
      <c r="G45" s="869">
        <v>11253</v>
      </c>
      <c r="H45" s="1"/>
      <c r="I45" s="870">
        <v>11253</v>
      </c>
    </row>
    <row r="46" spans="1:9" x14ac:dyDescent="0.25">
      <c r="A46" s="1"/>
      <c r="B46" s="1"/>
      <c r="C46" s="868">
        <v>43823</v>
      </c>
      <c r="D46" s="1"/>
      <c r="E46" s="1"/>
      <c r="F46" s="1"/>
      <c r="G46" s="869">
        <v>4361</v>
      </c>
      <c r="H46" s="1"/>
      <c r="I46" s="870">
        <v>4361</v>
      </c>
    </row>
    <row r="47" spans="1:9" ht="15.75" thickBot="1" x14ac:dyDescent="0.3">
      <c r="A47" s="871"/>
      <c r="B47" s="872" t="s">
        <v>1572</v>
      </c>
      <c r="C47" s="872"/>
      <c r="D47" s="872"/>
      <c r="E47" s="872"/>
      <c r="F47" s="872"/>
      <c r="G47" s="873">
        <v>39954</v>
      </c>
      <c r="H47" s="872"/>
      <c r="I47" s="874">
        <v>39954</v>
      </c>
    </row>
    <row r="48" spans="1:9" ht="15.75" thickBot="1" x14ac:dyDescent="0.3">
      <c r="A48" s="875" t="s">
        <v>1577</v>
      </c>
      <c r="B48" s="876"/>
      <c r="C48" s="876"/>
      <c r="D48" s="877">
        <v>416055</v>
      </c>
      <c r="E48" s="882"/>
      <c r="F48" s="882"/>
      <c r="G48" s="877">
        <v>350516</v>
      </c>
      <c r="H48" s="877">
        <v>96319</v>
      </c>
      <c r="I48" s="878">
        <v>862890</v>
      </c>
    </row>
    <row r="49" spans="1:9" x14ac:dyDescent="0.25">
      <c r="A49" s="825" t="s">
        <v>1578</v>
      </c>
      <c r="B49" s="826" t="s">
        <v>1560</v>
      </c>
      <c r="C49" s="1"/>
      <c r="D49" s="828"/>
      <c r="E49" s="828"/>
      <c r="F49" s="828"/>
      <c r="G49" s="827">
        <v>31720</v>
      </c>
      <c r="H49" s="828"/>
      <c r="I49" s="829">
        <v>31720</v>
      </c>
    </row>
    <row r="50" spans="1:9" x14ac:dyDescent="0.25">
      <c r="A50" s="1"/>
      <c r="B50" s="830" t="s">
        <v>1561</v>
      </c>
      <c r="C50" s="1"/>
      <c r="D50" s="832"/>
      <c r="E50" s="832"/>
      <c r="F50" s="832"/>
      <c r="G50" s="831">
        <v>27020</v>
      </c>
      <c r="H50" s="832"/>
      <c r="I50" s="833">
        <v>27020</v>
      </c>
    </row>
    <row r="51" spans="1:9" x14ac:dyDescent="0.25">
      <c r="A51" s="1"/>
      <c r="B51" s="838" t="s">
        <v>1563</v>
      </c>
      <c r="C51" s="1"/>
      <c r="D51" s="879"/>
      <c r="E51" s="879"/>
      <c r="F51" s="879"/>
      <c r="G51" s="839">
        <v>33320</v>
      </c>
      <c r="H51" s="879"/>
      <c r="I51" s="840">
        <v>33320</v>
      </c>
    </row>
    <row r="52" spans="1:9" x14ac:dyDescent="0.25">
      <c r="A52" s="1"/>
      <c r="B52" s="841" t="s">
        <v>1564</v>
      </c>
      <c r="C52" s="1"/>
      <c r="D52" s="843"/>
      <c r="E52" s="843"/>
      <c r="F52" s="843"/>
      <c r="G52" s="842">
        <v>27720</v>
      </c>
      <c r="H52" s="843"/>
      <c r="I52" s="844">
        <v>27720</v>
      </c>
    </row>
    <row r="53" spans="1:9" x14ac:dyDescent="0.25">
      <c r="A53" s="1"/>
      <c r="B53" s="853" t="s">
        <v>1567</v>
      </c>
      <c r="C53" s="1"/>
      <c r="D53" s="854"/>
      <c r="E53" s="854"/>
      <c r="F53" s="854"/>
      <c r="G53" s="854"/>
      <c r="H53" s="855">
        <v>94720</v>
      </c>
      <c r="I53" s="856">
        <v>94720</v>
      </c>
    </row>
    <row r="54" spans="1:9" x14ac:dyDescent="0.25">
      <c r="A54" s="1"/>
      <c r="B54" s="860" t="s">
        <v>1569</v>
      </c>
      <c r="C54" s="1"/>
      <c r="D54" s="862"/>
      <c r="E54" s="862"/>
      <c r="F54" s="862"/>
      <c r="G54" s="861">
        <v>22120</v>
      </c>
      <c r="H54" s="862"/>
      <c r="I54" s="863">
        <v>22120</v>
      </c>
    </row>
    <row r="55" spans="1:9" ht="15.75" thickBot="1" x14ac:dyDescent="0.3">
      <c r="A55" s="871"/>
      <c r="B55" s="864" t="s">
        <v>1570</v>
      </c>
      <c r="C55" s="1"/>
      <c r="D55" s="865"/>
      <c r="E55" s="865"/>
      <c r="F55" s="865"/>
      <c r="G55" s="866">
        <v>37860</v>
      </c>
      <c r="H55" s="865"/>
      <c r="I55" s="867">
        <v>37860</v>
      </c>
    </row>
    <row r="56" spans="1:9" ht="15.75" thickBot="1" x14ac:dyDescent="0.3">
      <c r="A56" s="875" t="s">
        <v>1579</v>
      </c>
      <c r="B56" s="876"/>
      <c r="C56" s="876"/>
      <c r="D56" s="882"/>
      <c r="E56" s="882"/>
      <c r="F56" s="882"/>
      <c r="G56" s="877">
        <v>179760</v>
      </c>
      <c r="H56" s="877">
        <v>94720</v>
      </c>
      <c r="I56" s="878">
        <v>274480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X160"/>
  <sheetViews>
    <sheetView topLeftCell="A10" workbookViewId="0">
      <selection activeCell="A7" sqref="A1:XFD1048576"/>
    </sheetView>
  </sheetViews>
  <sheetFormatPr baseColWidth="10" defaultRowHeight="15" x14ac:dyDescent="0.25"/>
  <cols>
    <col min="1" max="1" width="9.5703125" bestFit="1" customWidth="1"/>
    <col min="2" max="2" width="9.28515625" bestFit="1" customWidth="1"/>
    <col min="3" max="3" width="24" bestFit="1" customWidth="1"/>
    <col min="4" max="4" width="6.85546875" bestFit="1" customWidth="1"/>
    <col min="5" max="5" width="22.140625" bestFit="1" customWidth="1"/>
    <col min="6" max="6" width="2" bestFit="1" customWidth="1"/>
    <col min="7" max="7" width="11.42578125" bestFit="1" customWidth="1"/>
    <col min="8" max="8" width="8.140625" style="887" bestFit="1" customWidth="1"/>
    <col min="9" max="9" width="9.28515625" bestFit="1" customWidth="1"/>
    <col min="10" max="11" width="10.7109375" bestFit="1" customWidth="1"/>
    <col min="12" max="12" width="10" bestFit="1" customWidth="1"/>
    <col min="13" max="13" width="5.5703125" bestFit="1" customWidth="1"/>
    <col min="14" max="14" width="6.42578125" bestFit="1" customWidth="1"/>
    <col min="15" max="15" width="4" bestFit="1" customWidth="1"/>
    <col min="16" max="16" width="3" bestFit="1" customWidth="1"/>
    <col min="17" max="17" width="5.5703125" bestFit="1" customWidth="1"/>
    <col min="18" max="18" width="5" bestFit="1" customWidth="1"/>
    <col min="19" max="19" width="11.7109375" bestFit="1" customWidth="1"/>
  </cols>
  <sheetData>
    <row r="2" spans="1:23" s="396" customFormat="1" x14ac:dyDescent="0.25">
      <c r="A2" s="883" t="s">
        <v>1580</v>
      </c>
      <c r="B2" s="883" t="s">
        <v>1581</v>
      </c>
      <c r="C2" s="883" t="s">
        <v>1582</v>
      </c>
      <c r="D2" s="883" t="s">
        <v>1583</v>
      </c>
      <c r="E2" s="883" t="s">
        <v>577</v>
      </c>
      <c r="F2" s="883" t="s">
        <v>1584</v>
      </c>
      <c r="G2" s="884">
        <v>38260</v>
      </c>
      <c r="H2" s="888">
        <v>43472</v>
      </c>
      <c r="I2" s="883" t="s">
        <v>1585</v>
      </c>
      <c r="J2" s="885">
        <v>43472</v>
      </c>
      <c r="K2" s="885">
        <v>43472</v>
      </c>
      <c r="L2" s="883">
        <v>0</v>
      </c>
      <c r="M2" s="886">
        <v>1.9</v>
      </c>
      <c r="N2" s="883" t="s">
        <v>1586</v>
      </c>
      <c r="O2" s="883" t="s">
        <v>1587</v>
      </c>
      <c r="P2" s="883">
        <v>1</v>
      </c>
      <c r="Q2" s="883" t="e">
        <v>#N/A</v>
      </c>
      <c r="R2" s="883">
        <v>2019</v>
      </c>
      <c r="S2" s="886">
        <v>72694</v>
      </c>
    </row>
    <row r="3" spans="1:23" s="396" customFormat="1" x14ac:dyDescent="0.25">
      <c r="A3" s="883" t="s">
        <v>1588</v>
      </c>
      <c r="B3" s="883" t="s">
        <v>1581</v>
      </c>
      <c r="C3" s="883" t="s">
        <v>1582</v>
      </c>
      <c r="D3" s="883" t="s">
        <v>1583</v>
      </c>
      <c r="E3" s="883" t="s">
        <v>577</v>
      </c>
      <c r="F3" s="883" t="s">
        <v>1584</v>
      </c>
      <c r="G3" s="884">
        <v>36640</v>
      </c>
      <c r="H3" s="888">
        <v>43472</v>
      </c>
      <c r="I3" s="883" t="s">
        <v>1589</v>
      </c>
      <c r="J3" s="885">
        <v>43481</v>
      </c>
      <c r="K3" s="885">
        <v>43482</v>
      </c>
      <c r="L3" s="883">
        <v>0</v>
      </c>
      <c r="M3" s="886">
        <v>1.9</v>
      </c>
      <c r="N3" s="883" t="s">
        <v>1586</v>
      </c>
      <c r="O3" s="883" t="s">
        <v>1587</v>
      </c>
      <c r="P3" s="883">
        <v>1</v>
      </c>
      <c r="Q3" s="883" t="e">
        <v>#N/A</v>
      </c>
      <c r="R3" s="883">
        <v>2019</v>
      </c>
      <c r="S3" s="886">
        <v>69616</v>
      </c>
    </row>
    <row r="4" spans="1:23" s="396" customFormat="1" x14ac:dyDescent="0.25">
      <c r="A4" s="883" t="s">
        <v>1603</v>
      </c>
      <c r="B4" s="883" t="s">
        <v>1581</v>
      </c>
      <c r="C4" s="883" t="s">
        <v>1582</v>
      </c>
      <c r="D4" s="883" t="s">
        <v>1604</v>
      </c>
      <c r="E4" s="883" t="s">
        <v>1605</v>
      </c>
      <c r="F4" s="883" t="s">
        <v>1584</v>
      </c>
      <c r="G4" s="884">
        <v>38292.629999999997</v>
      </c>
      <c r="H4" s="888">
        <v>43496</v>
      </c>
      <c r="I4" s="883" t="s">
        <v>1606</v>
      </c>
      <c r="J4" s="885">
        <v>43468</v>
      </c>
      <c r="K4" s="885">
        <v>43496</v>
      </c>
      <c r="L4" s="883">
        <v>39997.9</v>
      </c>
      <c r="M4" s="886">
        <v>1.9</v>
      </c>
      <c r="N4" s="883" t="s">
        <v>1586</v>
      </c>
      <c r="O4" s="883" t="s">
        <v>1587</v>
      </c>
      <c r="P4" s="883">
        <v>1</v>
      </c>
      <c r="Q4" s="883" t="e">
        <v>#N/A</v>
      </c>
      <c r="R4" s="883">
        <v>2019</v>
      </c>
      <c r="S4" s="886">
        <v>72755.996999999988</v>
      </c>
      <c r="U4" s="897">
        <f>G8+G9</f>
        <v>66618.95</v>
      </c>
      <c r="V4" s="898">
        <f>U4-68480</f>
        <v>-1861.0500000000029</v>
      </c>
      <c r="W4" s="817" t="s">
        <v>1868</v>
      </c>
    </row>
    <row r="5" spans="1:23" s="396" customFormat="1" x14ac:dyDescent="0.25">
      <c r="A5" s="883" t="s">
        <v>1603</v>
      </c>
      <c r="B5" s="883" t="s">
        <v>1581</v>
      </c>
      <c r="C5" s="883" t="s">
        <v>1582</v>
      </c>
      <c r="D5" s="883" t="s">
        <v>1604</v>
      </c>
      <c r="E5" s="883" t="s">
        <v>1605</v>
      </c>
      <c r="F5" s="883" t="s">
        <v>1584</v>
      </c>
      <c r="G5" s="884">
        <v>39997.89</v>
      </c>
      <c r="H5" s="888">
        <v>43496</v>
      </c>
      <c r="I5" s="883" t="s">
        <v>1607</v>
      </c>
      <c r="J5" s="885">
        <v>43468</v>
      </c>
      <c r="K5" s="885">
        <v>43496</v>
      </c>
      <c r="L5" s="883">
        <v>0.01</v>
      </c>
      <c r="M5" s="886">
        <v>1.9</v>
      </c>
      <c r="N5" s="883" t="s">
        <v>1586</v>
      </c>
      <c r="O5" s="883" t="s">
        <v>1587</v>
      </c>
      <c r="P5" s="883">
        <v>1</v>
      </c>
      <c r="Q5" s="883" t="e">
        <v>#N/A</v>
      </c>
      <c r="R5" s="883">
        <v>2019</v>
      </c>
      <c r="S5" s="886">
        <v>75995.990999999995</v>
      </c>
      <c r="U5" s="897">
        <f>G10+G11</f>
        <v>78290.53</v>
      </c>
      <c r="V5" s="898">
        <f>U5-82640</f>
        <v>-4349.4700000000012</v>
      </c>
      <c r="W5" s="817" t="s">
        <v>1869</v>
      </c>
    </row>
    <row r="6" spans="1:23" s="396" customFormat="1" x14ac:dyDescent="0.25">
      <c r="A6" s="883" t="s">
        <v>1603</v>
      </c>
      <c r="B6" s="883" t="s">
        <v>1581</v>
      </c>
      <c r="C6" s="883" t="s">
        <v>1582</v>
      </c>
      <c r="D6" s="883" t="s">
        <v>1604</v>
      </c>
      <c r="E6" s="883" t="s">
        <v>1605</v>
      </c>
      <c r="F6" s="883" t="s">
        <v>1584</v>
      </c>
      <c r="G6" s="884">
        <v>-38292.629999999997</v>
      </c>
      <c r="H6" s="888">
        <v>43496</v>
      </c>
      <c r="I6" s="883" t="s">
        <v>1608</v>
      </c>
      <c r="J6" s="885">
        <v>43468</v>
      </c>
      <c r="K6" s="885">
        <v>43496</v>
      </c>
      <c r="L6" s="883">
        <v>38292.639999999999</v>
      </c>
      <c r="M6" s="886">
        <v>1.9</v>
      </c>
      <c r="N6" s="883" t="s">
        <v>1586</v>
      </c>
      <c r="O6" s="883" t="s">
        <v>1587</v>
      </c>
      <c r="P6" s="883">
        <v>1</v>
      </c>
      <c r="Q6" s="883" t="e">
        <v>#N/A</v>
      </c>
      <c r="R6" s="883">
        <v>2019</v>
      </c>
      <c r="S6" s="886">
        <v>-72755.996999999988</v>
      </c>
    </row>
    <row r="7" spans="1:23" s="396" customFormat="1" x14ac:dyDescent="0.25">
      <c r="A7" s="883" t="s">
        <v>1603</v>
      </c>
      <c r="B7" s="883" t="s">
        <v>1581</v>
      </c>
      <c r="C7" s="883" t="s">
        <v>1582</v>
      </c>
      <c r="D7" s="883" t="s">
        <v>1604</v>
      </c>
      <c r="E7" s="883" t="s">
        <v>1605</v>
      </c>
      <c r="F7" s="883" t="s">
        <v>1584</v>
      </c>
      <c r="G7" s="884">
        <v>-39997.89</v>
      </c>
      <c r="H7" s="888">
        <v>43496</v>
      </c>
      <c r="I7" s="883" t="s">
        <v>1609</v>
      </c>
      <c r="J7" s="885">
        <v>43468</v>
      </c>
      <c r="K7" s="885">
        <v>43496</v>
      </c>
      <c r="L7" s="883">
        <v>78290.53</v>
      </c>
      <c r="M7" s="886">
        <v>1.9</v>
      </c>
      <c r="N7" s="883" t="s">
        <v>1586</v>
      </c>
      <c r="O7" s="883" t="s">
        <v>1587</v>
      </c>
      <c r="P7" s="883">
        <v>1</v>
      </c>
      <c r="Q7" s="883" t="e">
        <v>#N/A</v>
      </c>
      <c r="R7" s="883">
        <v>2019</v>
      </c>
      <c r="S7" s="886">
        <v>-75995.990999999995</v>
      </c>
    </row>
    <row r="8" spans="1:23" s="396" customFormat="1" x14ac:dyDescent="0.25">
      <c r="A8" s="883" t="s">
        <v>1590</v>
      </c>
      <c r="B8" s="883" t="s">
        <v>1581</v>
      </c>
      <c r="C8" s="883" t="s">
        <v>1582</v>
      </c>
      <c r="D8" s="883" t="s">
        <v>1591</v>
      </c>
      <c r="E8" s="883" t="s">
        <v>1592</v>
      </c>
      <c r="F8" s="883" t="s">
        <v>1584</v>
      </c>
      <c r="G8" s="884">
        <v>33120</v>
      </c>
      <c r="H8" s="888">
        <v>43481</v>
      </c>
      <c r="I8" s="883" t="s">
        <v>1593</v>
      </c>
      <c r="J8" s="885">
        <v>43481</v>
      </c>
      <c r="K8" s="885">
        <v>43482</v>
      </c>
      <c r="L8" s="883">
        <v>0</v>
      </c>
      <c r="M8" s="886">
        <v>1.9</v>
      </c>
      <c r="N8" s="883" t="s">
        <v>1586</v>
      </c>
      <c r="O8" s="883" t="s">
        <v>1587</v>
      </c>
      <c r="P8" s="883">
        <v>1</v>
      </c>
      <c r="Q8" s="883" t="e">
        <v>#N/A</v>
      </c>
      <c r="R8" s="883">
        <v>2019</v>
      </c>
      <c r="S8" s="886">
        <v>62928</v>
      </c>
    </row>
    <row r="9" spans="1:23" s="396" customFormat="1" x14ac:dyDescent="0.25">
      <c r="A9" s="883" t="s">
        <v>1594</v>
      </c>
      <c r="B9" s="883" t="s">
        <v>1581</v>
      </c>
      <c r="C9" s="883" t="s">
        <v>1582</v>
      </c>
      <c r="D9" s="883" t="s">
        <v>1595</v>
      </c>
      <c r="E9" s="883" t="s">
        <v>1596</v>
      </c>
      <c r="F9" s="883" t="s">
        <v>1584</v>
      </c>
      <c r="G9" s="884">
        <v>33498.949999999997</v>
      </c>
      <c r="H9" s="888">
        <v>43494</v>
      </c>
      <c r="I9" s="883" t="s">
        <v>1597</v>
      </c>
      <c r="J9" s="885">
        <v>43494</v>
      </c>
      <c r="K9" s="885">
        <v>43494</v>
      </c>
      <c r="L9" s="883">
        <v>0</v>
      </c>
      <c r="M9" s="886">
        <v>1.9</v>
      </c>
      <c r="N9" s="883" t="s">
        <v>1586</v>
      </c>
      <c r="O9" s="883" t="s">
        <v>1587</v>
      </c>
      <c r="P9" s="883">
        <v>1</v>
      </c>
      <c r="Q9" s="883" t="e">
        <v>#N/A</v>
      </c>
      <c r="R9" s="883">
        <v>2019</v>
      </c>
      <c r="S9" s="886">
        <v>63648.00499999999</v>
      </c>
    </row>
    <row r="10" spans="1:23" s="396" customFormat="1" x14ac:dyDescent="0.25">
      <c r="A10" s="883" t="s">
        <v>1598</v>
      </c>
      <c r="B10" s="883" t="s">
        <v>1581</v>
      </c>
      <c r="C10" s="883" t="s">
        <v>1582</v>
      </c>
      <c r="D10" s="883" t="s">
        <v>1599</v>
      </c>
      <c r="E10" s="883" t="s">
        <v>1600</v>
      </c>
      <c r="F10" s="883" t="s">
        <v>1584</v>
      </c>
      <c r="G10" s="884">
        <v>38292.629999999997</v>
      </c>
      <c r="H10" s="888">
        <v>43496</v>
      </c>
      <c r="I10" s="883" t="s">
        <v>1601</v>
      </c>
      <c r="J10" s="885">
        <v>43468</v>
      </c>
      <c r="K10" s="885">
        <v>43532</v>
      </c>
      <c r="L10" s="883">
        <v>39997.9</v>
      </c>
      <c r="M10" s="886">
        <v>1.9</v>
      </c>
      <c r="N10" s="883" t="s">
        <v>1586</v>
      </c>
      <c r="O10" s="883" t="s">
        <v>1587</v>
      </c>
      <c r="P10" s="883">
        <v>1</v>
      </c>
      <c r="Q10" s="883" t="e">
        <v>#N/A</v>
      </c>
      <c r="R10" s="883">
        <v>2019</v>
      </c>
      <c r="S10" s="886">
        <v>72755.996999999988</v>
      </c>
    </row>
    <row r="11" spans="1:23" s="396" customFormat="1" x14ac:dyDescent="0.25">
      <c r="A11" s="883" t="s">
        <v>1598</v>
      </c>
      <c r="B11" s="883" t="s">
        <v>1581</v>
      </c>
      <c r="C11" s="883" t="s">
        <v>1582</v>
      </c>
      <c r="D11" s="883" t="s">
        <v>1599</v>
      </c>
      <c r="E11" s="883" t="s">
        <v>1600</v>
      </c>
      <c r="F11" s="883" t="s">
        <v>1584</v>
      </c>
      <c r="G11" s="884">
        <v>39997.9</v>
      </c>
      <c r="H11" s="888">
        <v>43496</v>
      </c>
      <c r="I11" s="883" t="s">
        <v>1602</v>
      </c>
      <c r="J11" s="885">
        <v>43468</v>
      </c>
      <c r="K11" s="885">
        <v>43532</v>
      </c>
      <c r="L11" s="883">
        <v>0</v>
      </c>
      <c r="M11" s="886">
        <v>1.9</v>
      </c>
      <c r="N11" s="883" t="s">
        <v>1586</v>
      </c>
      <c r="O11" s="883" t="s">
        <v>1587</v>
      </c>
      <c r="P11" s="883">
        <v>1</v>
      </c>
      <c r="Q11" s="883" t="e">
        <v>#N/A</v>
      </c>
      <c r="R11" s="883">
        <v>2019</v>
      </c>
      <c r="S11" s="886">
        <v>75996.009999999995</v>
      </c>
    </row>
    <row r="12" spans="1:23" s="396" customFormat="1" x14ac:dyDescent="0.25">
      <c r="A12" s="889"/>
      <c r="B12" s="889"/>
      <c r="C12" s="889"/>
      <c r="D12" s="889"/>
      <c r="E12" s="889"/>
      <c r="F12" s="889"/>
      <c r="G12" s="890">
        <f>SUM(G2:G11)</f>
        <v>219809.48</v>
      </c>
      <c r="H12" s="891"/>
      <c r="I12" s="889"/>
      <c r="J12" s="892"/>
      <c r="K12" s="892"/>
      <c r="L12" s="889"/>
      <c r="M12" s="893"/>
      <c r="N12" s="889"/>
      <c r="O12" s="889"/>
      <c r="P12" s="889"/>
      <c r="Q12" s="889"/>
      <c r="R12" s="889"/>
      <c r="S12" s="893"/>
      <c r="V12" s="897">
        <f>G12-V4-V5</f>
        <v>226020.00000000003</v>
      </c>
    </row>
    <row r="13" spans="1:23" s="396" customFormat="1" x14ac:dyDescent="0.25">
      <c r="A13" s="883" t="s">
        <v>1632</v>
      </c>
      <c r="B13" s="883" t="s">
        <v>1581</v>
      </c>
      <c r="C13" s="883" t="s">
        <v>1582</v>
      </c>
      <c r="D13" s="883" t="s">
        <v>1633</v>
      </c>
      <c r="E13" s="883" t="s">
        <v>824</v>
      </c>
      <c r="F13" s="883" t="s">
        <v>1584</v>
      </c>
      <c r="G13" s="884">
        <v>25354</v>
      </c>
      <c r="H13" s="888">
        <v>43521</v>
      </c>
      <c r="I13" s="883" t="s">
        <v>1634</v>
      </c>
      <c r="J13" s="885">
        <v>43532</v>
      </c>
      <c r="K13" s="885">
        <v>43532</v>
      </c>
      <c r="L13" s="883">
        <v>0</v>
      </c>
      <c r="M13" s="886">
        <v>1.9</v>
      </c>
      <c r="N13" s="883" t="s">
        <v>1586</v>
      </c>
      <c r="O13" s="883" t="s">
        <v>1587</v>
      </c>
      <c r="P13" s="883">
        <v>2</v>
      </c>
      <c r="Q13" s="883">
        <v>0</v>
      </c>
      <c r="R13" s="883">
        <v>2019</v>
      </c>
      <c r="S13" s="886">
        <v>48172.6</v>
      </c>
      <c r="U13" s="897">
        <f>SUM(G17:G27)</f>
        <v>147931.73499999999</v>
      </c>
      <c r="V13" s="897">
        <f>U13-154126</f>
        <v>-6194.265000000014</v>
      </c>
      <c r="W13" s="396" t="s">
        <v>1868</v>
      </c>
    </row>
    <row r="14" spans="1:23" s="396" customFormat="1" x14ac:dyDescent="0.25">
      <c r="A14" s="883" t="s">
        <v>1637</v>
      </c>
      <c r="B14" s="883" t="s">
        <v>1581</v>
      </c>
      <c r="C14" s="883" t="s">
        <v>1582</v>
      </c>
      <c r="D14" s="883" t="s">
        <v>1633</v>
      </c>
      <c r="E14" s="883" t="s">
        <v>824</v>
      </c>
      <c r="F14" s="883" t="s">
        <v>1584</v>
      </c>
      <c r="G14" s="884">
        <v>42080</v>
      </c>
      <c r="H14" s="888">
        <v>43522</v>
      </c>
      <c r="I14" s="883" t="s">
        <v>1638</v>
      </c>
      <c r="J14" s="885">
        <v>43532</v>
      </c>
      <c r="K14" s="885">
        <v>43532</v>
      </c>
      <c r="L14" s="883">
        <v>0</v>
      </c>
      <c r="M14" s="886">
        <v>1.9</v>
      </c>
      <c r="N14" s="883" t="s">
        <v>1586</v>
      </c>
      <c r="O14" s="883" t="s">
        <v>1587</v>
      </c>
      <c r="P14" s="883">
        <v>2</v>
      </c>
      <c r="Q14" s="883">
        <v>0</v>
      </c>
      <c r="R14" s="883">
        <v>2019</v>
      </c>
      <c r="S14" s="886">
        <v>79952</v>
      </c>
    </row>
    <row r="15" spans="1:23" s="396" customFormat="1" x14ac:dyDescent="0.25">
      <c r="A15" s="883" t="s">
        <v>1618</v>
      </c>
      <c r="B15" s="883" t="s">
        <v>1581</v>
      </c>
      <c r="C15" s="883" t="s">
        <v>1582</v>
      </c>
      <c r="D15" s="883" t="s">
        <v>1583</v>
      </c>
      <c r="E15" s="883" t="s">
        <v>577</v>
      </c>
      <c r="F15" s="883" t="s">
        <v>1584</v>
      </c>
      <c r="G15" s="884">
        <v>34520</v>
      </c>
      <c r="H15" s="888">
        <v>43500</v>
      </c>
      <c r="I15" s="883" t="s">
        <v>1619</v>
      </c>
      <c r="J15" s="885">
        <v>43500</v>
      </c>
      <c r="K15" s="885">
        <v>43507</v>
      </c>
      <c r="L15" s="883">
        <v>0</v>
      </c>
      <c r="M15" s="886">
        <v>1.9</v>
      </c>
      <c r="N15" s="883" t="s">
        <v>1586</v>
      </c>
      <c r="O15" s="883" t="s">
        <v>1587</v>
      </c>
      <c r="P15" s="883">
        <v>2</v>
      </c>
      <c r="Q15" s="883" t="e">
        <v>#N/A</v>
      </c>
      <c r="R15" s="883">
        <v>2019</v>
      </c>
      <c r="S15" s="886">
        <v>65588</v>
      </c>
    </row>
    <row r="16" spans="1:23" s="396" customFormat="1" x14ac:dyDescent="0.25">
      <c r="A16" s="883" t="s">
        <v>1639</v>
      </c>
      <c r="B16" s="883" t="s">
        <v>1581</v>
      </c>
      <c r="C16" s="883" t="s">
        <v>1582</v>
      </c>
      <c r="D16" s="883" t="s">
        <v>1583</v>
      </c>
      <c r="E16" s="883" t="s">
        <v>577</v>
      </c>
      <c r="F16" s="883" t="s">
        <v>1584</v>
      </c>
      <c r="G16" s="884">
        <v>25680</v>
      </c>
      <c r="H16" s="888">
        <v>43524</v>
      </c>
      <c r="I16" s="883" t="s">
        <v>1640</v>
      </c>
      <c r="J16" s="885">
        <v>43524</v>
      </c>
      <c r="K16" s="885">
        <v>43524</v>
      </c>
      <c r="L16" s="883">
        <v>0</v>
      </c>
      <c r="M16" s="886">
        <v>1.9</v>
      </c>
      <c r="N16" s="883" t="s">
        <v>1586</v>
      </c>
      <c r="O16" s="883" t="s">
        <v>1587</v>
      </c>
      <c r="P16" s="883">
        <v>2</v>
      </c>
      <c r="Q16" s="883" t="e">
        <v>#N/A</v>
      </c>
      <c r="R16" s="883">
        <v>2019</v>
      </c>
      <c r="S16" s="886">
        <v>48792</v>
      </c>
    </row>
    <row r="17" spans="1:22" s="396" customFormat="1" x14ac:dyDescent="0.25">
      <c r="A17" s="883" t="s">
        <v>1615</v>
      </c>
      <c r="B17" s="883" t="s">
        <v>1581</v>
      </c>
      <c r="C17" s="883" t="s">
        <v>1582</v>
      </c>
      <c r="D17" s="883" t="s">
        <v>1591</v>
      </c>
      <c r="E17" s="883" t="s">
        <v>1592</v>
      </c>
      <c r="F17" s="883" t="s">
        <v>1584</v>
      </c>
      <c r="G17" s="884">
        <v>34520</v>
      </c>
      <c r="H17" s="888">
        <v>43500</v>
      </c>
      <c r="I17" s="883" t="s">
        <v>1616</v>
      </c>
      <c r="J17" s="885">
        <v>43500</v>
      </c>
      <c r="K17" s="885">
        <v>43500</v>
      </c>
      <c r="L17" s="883">
        <v>0</v>
      </c>
      <c r="M17" s="886">
        <v>1.9</v>
      </c>
      <c r="N17" s="883" t="s">
        <v>1586</v>
      </c>
      <c r="O17" s="883" t="s">
        <v>1587</v>
      </c>
      <c r="P17" s="883">
        <v>2</v>
      </c>
      <c r="Q17" s="883" t="e">
        <v>#N/A</v>
      </c>
      <c r="R17" s="883">
        <v>2019</v>
      </c>
      <c r="S17" s="886">
        <v>65588</v>
      </c>
    </row>
    <row r="18" spans="1:22" s="396" customFormat="1" x14ac:dyDescent="0.25">
      <c r="A18" s="883" t="s">
        <v>1615</v>
      </c>
      <c r="B18" s="883" t="s">
        <v>1581</v>
      </c>
      <c r="C18" s="883" t="s">
        <v>1582</v>
      </c>
      <c r="D18" s="883" t="s">
        <v>1591</v>
      </c>
      <c r="E18" s="883" t="s">
        <v>1592</v>
      </c>
      <c r="F18" s="883" t="s">
        <v>1584</v>
      </c>
      <c r="G18" s="884">
        <v>-34520</v>
      </c>
      <c r="H18" s="888">
        <v>43500</v>
      </c>
      <c r="I18" s="883" t="s">
        <v>1617</v>
      </c>
      <c r="J18" s="885">
        <v>43500</v>
      </c>
      <c r="K18" s="885">
        <v>43500</v>
      </c>
      <c r="L18" s="883">
        <v>34520</v>
      </c>
      <c r="M18" s="886">
        <v>1.9</v>
      </c>
      <c r="N18" s="883" t="s">
        <v>1586</v>
      </c>
      <c r="O18" s="883" t="s">
        <v>1587</v>
      </c>
      <c r="P18" s="883">
        <v>2</v>
      </c>
      <c r="Q18" s="883" t="e">
        <v>#N/A</v>
      </c>
      <c r="R18" s="883">
        <v>2019</v>
      </c>
      <c r="S18" s="886">
        <v>-65588</v>
      </c>
    </row>
    <row r="19" spans="1:22" s="396" customFormat="1" x14ac:dyDescent="0.25">
      <c r="A19" s="883" t="s">
        <v>1610</v>
      </c>
      <c r="B19" s="883" t="s">
        <v>1581</v>
      </c>
      <c r="C19" s="883" t="s">
        <v>1582</v>
      </c>
      <c r="D19" s="883" t="s">
        <v>1595</v>
      </c>
      <c r="E19" s="883" t="s">
        <v>1596</v>
      </c>
      <c r="F19" s="883" t="s">
        <v>1584</v>
      </c>
      <c r="G19" s="884">
        <v>23480</v>
      </c>
      <c r="H19" s="888">
        <v>43498</v>
      </c>
      <c r="I19" s="883" t="s">
        <v>1611</v>
      </c>
      <c r="J19" s="885">
        <v>43498</v>
      </c>
      <c r="K19" s="885">
        <v>43507</v>
      </c>
      <c r="L19" s="883">
        <v>27840</v>
      </c>
      <c r="M19" s="886">
        <v>4.7</v>
      </c>
      <c r="N19" s="883" t="s">
        <v>1586</v>
      </c>
      <c r="O19" s="883" t="s">
        <v>1587</v>
      </c>
      <c r="P19" s="883">
        <v>2</v>
      </c>
      <c r="Q19" s="883" t="e">
        <v>#N/A</v>
      </c>
      <c r="R19" s="883">
        <v>2019</v>
      </c>
      <c r="S19" s="886">
        <v>110356</v>
      </c>
    </row>
    <row r="20" spans="1:22" s="396" customFormat="1" x14ac:dyDescent="0.25">
      <c r="A20" s="883" t="s">
        <v>1610</v>
      </c>
      <c r="B20" s="883" t="s">
        <v>1581</v>
      </c>
      <c r="C20" s="883" t="s">
        <v>1582</v>
      </c>
      <c r="D20" s="883" t="s">
        <v>1595</v>
      </c>
      <c r="E20" s="883" t="s">
        <v>1596</v>
      </c>
      <c r="F20" s="883" t="s">
        <v>1584</v>
      </c>
      <c r="G20" s="884">
        <v>-23480</v>
      </c>
      <c r="H20" s="888">
        <v>43498</v>
      </c>
      <c r="I20" s="883" t="s">
        <v>1612</v>
      </c>
      <c r="J20" s="885">
        <v>43498</v>
      </c>
      <c r="K20" s="885">
        <v>43507</v>
      </c>
      <c r="L20" s="883">
        <v>51320</v>
      </c>
      <c r="M20" s="886">
        <v>4.7</v>
      </c>
      <c r="N20" s="883" t="s">
        <v>1586</v>
      </c>
      <c r="O20" s="883" t="s">
        <v>1587</v>
      </c>
      <c r="P20" s="883">
        <v>2</v>
      </c>
      <c r="Q20" s="883" t="e">
        <v>#N/A</v>
      </c>
      <c r="R20" s="883">
        <v>2019</v>
      </c>
      <c r="S20" s="886">
        <v>-110356</v>
      </c>
    </row>
    <row r="21" spans="1:22" s="396" customFormat="1" x14ac:dyDescent="0.25">
      <c r="A21" s="883" t="s">
        <v>1613</v>
      </c>
      <c r="B21" s="883" t="s">
        <v>1581</v>
      </c>
      <c r="C21" s="883" t="s">
        <v>1582</v>
      </c>
      <c r="D21" s="883" t="s">
        <v>1595</v>
      </c>
      <c r="E21" s="883" t="s">
        <v>1596</v>
      </c>
      <c r="F21" s="883" t="s">
        <v>1584</v>
      </c>
      <c r="G21" s="884">
        <v>35052.629999999997</v>
      </c>
      <c r="H21" s="888">
        <v>43500</v>
      </c>
      <c r="I21" s="883" t="s">
        <v>1614</v>
      </c>
      <c r="J21" s="885">
        <v>43500</v>
      </c>
      <c r="K21" s="885">
        <v>43500</v>
      </c>
      <c r="L21" s="883">
        <v>0</v>
      </c>
      <c r="M21" s="886">
        <v>1.9</v>
      </c>
      <c r="N21" s="883" t="s">
        <v>1586</v>
      </c>
      <c r="O21" s="883" t="s">
        <v>1587</v>
      </c>
      <c r="P21" s="883">
        <v>2</v>
      </c>
      <c r="Q21" s="883" t="e">
        <v>#N/A</v>
      </c>
      <c r="R21" s="883">
        <v>2019</v>
      </c>
      <c r="S21" s="886">
        <v>66599.996999999988</v>
      </c>
    </row>
    <row r="22" spans="1:22" s="396" customFormat="1" x14ac:dyDescent="0.25">
      <c r="A22" s="883" t="s">
        <v>1620</v>
      </c>
      <c r="B22" s="883" t="s">
        <v>1581</v>
      </c>
      <c r="C22" s="883" t="s">
        <v>1582</v>
      </c>
      <c r="D22" s="883" t="s">
        <v>1595</v>
      </c>
      <c r="E22" s="883" t="s">
        <v>1596</v>
      </c>
      <c r="F22" s="883" t="s">
        <v>1584</v>
      </c>
      <c r="G22" s="884">
        <v>28198.420999999998</v>
      </c>
      <c r="H22" s="888">
        <v>43503</v>
      </c>
      <c r="I22" s="883" t="s">
        <v>1621</v>
      </c>
      <c r="J22" s="885">
        <v>43503</v>
      </c>
      <c r="K22" s="885">
        <v>43514</v>
      </c>
      <c r="L22" s="883">
        <v>17753.684000000001</v>
      </c>
      <c r="M22" s="886">
        <v>1.9</v>
      </c>
      <c r="N22" s="883" t="s">
        <v>1586</v>
      </c>
      <c r="O22" s="883" t="s">
        <v>1587</v>
      </c>
      <c r="P22" s="883">
        <v>2</v>
      </c>
      <c r="Q22" s="883" t="e">
        <v>#N/A</v>
      </c>
      <c r="R22" s="883">
        <v>2019</v>
      </c>
      <c r="S22" s="886">
        <v>53576.999899999995</v>
      </c>
    </row>
    <row r="23" spans="1:22" s="396" customFormat="1" x14ac:dyDescent="0.25">
      <c r="A23" s="883" t="s">
        <v>1620</v>
      </c>
      <c r="B23" s="883" t="s">
        <v>1581</v>
      </c>
      <c r="C23" s="883" t="s">
        <v>1582</v>
      </c>
      <c r="D23" s="883" t="s">
        <v>1595</v>
      </c>
      <c r="E23" s="883" t="s">
        <v>1596</v>
      </c>
      <c r="F23" s="883" t="s">
        <v>1584</v>
      </c>
      <c r="G23" s="884">
        <v>17753.684000000001</v>
      </c>
      <c r="H23" s="888">
        <v>43508</v>
      </c>
      <c r="I23" s="883" t="s">
        <v>1622</v>
      </c>
      <c r="J23" s="885">
        <v>43503</v>
      </c>
      <c r="K23" s="885">
        <v>43514</v>
      </c>
      <c r="L23" s="883">
        <v>0</v>
      </c>
      <c r="M23" s="886">
        <v>1.9</v>
      </c>
      <c r="N23" s="883" t="s">
        <v>1586</v>
      </c>
      <c r="O23" s="883" t="s">
        <v>1587</v>
      </c>
      <c r="P23" s="883">
        <v>2</v>
      </c>
      <c r="Q23" s="883" t="e">
        <v>#N/A</v>
      </c>
      <c r="R23" s="883">
        <v>2019</v>
      </c>
      <c r="S23" s="886">
        <v>33731.999600000003</v>
      </c>
    </row>
    <row r="24" spans="1:22" s="396" customFormat="1" x14ac:dyDescent="0.25">
      <c r="A24" s="883" t="s">
        <v>1627</v>
      </c>
      <c r="B24" s="883" t="s">
        <v>1581</v>
      </c>
      <c r="C24" s="883" t="s">
        <v>1582</v>
      </c>
      <c r="D24" s="883" t="s">
        <v>1595</v>
      </c>
      <c r="E24" s="883" t="s">
        <v>1596</v>
      </c>
      <c r="F24" s="883" t="s">
        <v>1584</v>
      </c>
      <c r="G24" s="884">
        <v>32181</v>
      </c>
      <c r="H24" s="888">
        <v>43515</v>
      </c>
      <c r="I24" s="883" t="s">
        <v>1628</v>
      </c>
      <c r="J24" s="885">
        <v>43515</v>
      </c>
      <c r="K24" s="885">
        <v>43524</v>
      </c>
      <c r="L24" s="883">
        <v>0</v>
      </c>
      <c r="M24" s="886">
        <v>1.8</v>
      </c>
      <c r="N24" s="883" t="s">
        <v>1586</v>
      </c>
      <c r="O24" s="883" t="s">
        <v>1587</v>
      </c>
      <c r="P24" s="883">
        <v>2</v>
      </c>
      <c r="Q24" s="883" t="e">
        <v>#N/A</v>
      </c>
      <c r="R24" s="883">
        <v>2019</v>
      </c>
      <c r="S24" s="886">
        <v>57925.8</v>
      </c>
    </row>
    <row r="25" spans="1:22" s="396" customFormat="1" x14ac:dyDescent="0.25">
      <c r="A25" s="883" t="s">
        <v>1627</v>
      </c>
      <c r="B25" s="883" t="s">
        <v>1581</v>
      </c>
      <c r="C25" s="883" t="s">
        <v>1582</v>
      </c>
      <c r="D25" s="883" t="s">
        <v>1595</v>
      </c>
      <c r="E25" s="883" t="s">
        <v>1596</v>
      </c>
      <c r="F25" s="883" t="s">
        <v>1584</v>
      </c>
      <c r="G25" s="884">
        <v>-32181</v>
      </c>
      <c r="H25" s="888">
        <v>43515</v>
      </c>
      <c r="I25" s="883" t="s">
        <v>1629</v>
      </c>
      <c r="J25" s="885">
        <v>43515</v>
      </c>
      <c r="K25" s="885">
        <v>43524</v>
      </c>
      <c r="L25" s="883">
        <v>32181</v>
      </c>
      <c r="M25" s="886">
        <v>1.8</v>
      </c>
      <c r="N25" s="883" t="s">
        <v>1586</v>
      </c>
      <c r="O25" s="883" t="s">
        <v>1587</v>
      </c>
      <c r="P25" s="883">
        <v>2</v>
      </c>
      <c r="Q25" s="883" t="e">
        <v>#N/A</v>
      </c>
      <c r="R25" s="883">
        <v>2019</v>
      </c>
      <c r="S25" s="886">
        <v>-57925.8</v>
      </c>
    </row>
    <row r="26" spans="1:22" s="396" customFormat="1" x14ac:dyDescent="0.25">
      <c r="A26" s="883" t="s">
        <v>1630</v>
      </c>
      <c r="B26" s="883" t="s">
        <v>1581</v>
      </c>
      <c r="C26" s="883" t="s">
        <v>1582</v>
      </c>
      <c r="D26" s="883" t="s">
        <v>1595</v>
      </c>
      <c r="E26" s="883" t="s">
        <v>1596</v>
      </c>
      <c r="F26" s="883" t="s">
        <v>1584</v>
      </c>
      <c r="G26" s="884">
        <v>30487</v>
      </c>
      <c r="H26" s="888">
        <v>43515</v>
      </c>
      <c r="I26" s="883" t="s">
        <v>1631</v>
      </c>
      <c r="J26" s="885">
        <v>43539</v>
      </c>
      <c r="K26" s="885">
        <v>43539</v>
      </c>
      <c r="L26" s="883">
        <v>0</v>
      </c>
      <c r="M26" s="886">
        <v>1.9</v>
      </c>
      <c r="N26" s="883" t="s">
        <v>1586</v>
      </c>
      <c r="O26" s="883" t="s">
        <v>1587</v>
      </c>
      <c r="P26" s="883">
        <v>2</v>
      </c>
      <c r="Q26" s="883" t="e">
        <v>#N/A</v>
      </c>
      <c r="R26" s="883">
        <v>2019</v>
      </c>
      <c r="S26" s="886">
        <v>57925.299999999996</v>
      </c>
    </row>
    <row r="27" spans="1:22" s="396" customFormat="1" x14ac:dyDescent="0.25">
      <c r="A27" s="883" t="s">
        <v>1635</v>
      </c>
      <c r="B27" s="883" t="s">
        <v>1581</v>
      </c>
      <c r="C27" s="883" t="s">
        <v>1582</v>
      </c>
      <c r="D27" s="883" t="s">
        <v>1595</v>
      </c>
      <c r="E27" s="883" t="s">
        <v>1596</v>
      </c>
      <c r="F27" s="883" t="s">
        <v>1584</v>
      </c>
      <c r="G27" s="884">
        <v>36440</v>
      </c>
      <c r="H27" s="888">
        <v>43522</v>
      </c>
      <c r="I27" s="883" t="s">
        <v>1636</v>
      </c>
      <c r="J27" s="885">
        <v>43532</v>
      </c>
      <c r="K27" s="885">
        <v>43532</v>
      </c>
      <c r="L27" s="883">
        <v>0</v>
      </c>
      <c r="M27" s="886">
        <v>1.9</v>
      </c>
      <c r="N27" s="883" t="s">
        <v>1586</v>
      </c>
      <c r="O27" s="883" t="s">
        <v>1587</v>
      </c>
      <c r="P27" s="883">
        <v>2</v>
      </c>
      <c r="Q27" s="883" t="e">
        <v>#N/A</v>
      </c>
      <c r="R27" s="883">
        <v>2019</v>
      </c>
      <c r="S27" s="886">
        <v>69236</v>
      </c>
    </row>
    <row r="28" spans="1:22" s="396" customFormat="1" x14ac:dyDescent="0.25">
      <c r="A28" s="883" t="s">
        <v>1623</v>
      </c>
      <c r="B28" s="883" t="s">
        <v>1581</v>
      </c>
      <c r="C28" s="883" t="s">
        <v>1582</v>
      </c>
      <c r="D28" s="883" t="s">
        <v>1624</v>
      </c>
      <c r="E28" s="883" t="s">
        <v>1625</v>
      </c>
      <c r="F28" s="883" t="s">
        <v>1584</v>
      </c>
      <c r="G28" s="884">
        <v>33060</v>
      </c>
      <c r="H28" s="888">
        <v>43511</v>
      </c>
      <c r="I28" s="883" t="s">
        <v>1626</v>
      </c>
      <c r="J28" s="885">
        <v>43511</v>
      </c>
      <c r="K28" s="885">
        <v>43511</v>
      </c>
      <c r="L28" s="883">
        <v>0</v>
      </c>
      <c r="M28" s="886">
        <v>1.8</v>
      </c>
      <c r="N28" s="883" t="s">
        <v>1586</v>
      </c>
      <c r="O28" s="883" t="s">
        <v>1587</v>
      </c>
      <c r="P28" s="883">
        <v>2</v>
      </c>
      <c r="Q28" s="883" t="e">
        <v>#N/A</v>
      </c>
      <c r="R28" s="883">
        <v>2019</v>
      </c>
      <c r="S28" s="886">
        <v>59508</v>
      </c>
    </row>
    <row r="29" spans="1:22" s="396" customFormat="1" x14ac:dyDescent="0.25">
      <c r="A29" s="889"/>
      <c r="B29" s="889"/>
      <c r="C29" s="889"/>
      <c r="D29" s="889"/>
      <c r="E29" s="889"/>
      <c r="F29" s="889"/>
      <c r="G29" s="890">
        <f>SUM(G13:G28)</f>
        <v>308625.73499999999</v>
      </c>
      <c r="H29" s="891"/>
      <c r="I29" s="889"/>
      <c r="J29" s="892"/>
      <c r="K29" s="892"/>
      <c r="L29" s="889"/>
      <c r="M29" s="893"/>
      <c r="N29" s="889"/>
      <c r="O29" s="889"/>
      <c r="P29" s="889"/>
      <c r="Q29" s="889"/>
      <c r="R29" s="889"/>
      <c r="S29" s="893"/>
      <c r="V29" s="897">
        <f>G29-V13</f>
        <v>314820</v>
      </c>
    </row>
    <row r="30" spans="1:22" s="396" customFormat="1" x14ac:dyDescent="0.25">
      <c r="A30" s="883" t="s">
        <v>1641</v>
      </c>
      <c r="B30" s="883" t="s">
        <v>1581</v>
      </c>
      <c r="C30" s="883" t="s">
        <v>1582</v>
      </c>
      <c r="D30" s="883" t="s">
        <v>1583</v>
      </c>
      <c r="E30" s="883" t="s">
        <v>577</v>
      </c>
      <c r="F30" s="883" t="s">
        <v>1584</v>
      </c>
      <c r="G30" s="884">
        <v>30200</v>
      </c>
      <c r="H30" s="888">
        <v>43529</v>
      </c>
      <c r="I30" s="883" t="s">
        <v>1642</v>
      </c>
      <c r="J30" s="885">
        <v>43529</v>
      </c>
      <c r="K30" s="885">
        <v>43530</v>
      </c>
      <c r="L30" s="883">
        <v>0</v>
      </c>
      <c r="M30" s="886">
        <v>1.9</v>
      </c>
      <c r="N30" s="883" t="s">
        <v>1586</v>
      </c>
      <c r="O30" s="883" t="s">
        <v>1587</v>
      </c>
      <c r="P30" s="883">
        <v>3</v>
      </c>
      <c r="Q30" s="883" t="e">
        <v>#N/A</v>
      </c>
      <c r="R30" s="883">
        <v>2019</v>
      </c>
      <c r="S30" s="886">
        <v>57380</v>
      </c>
    </row>
    <row r="31" spans="1:22" s="396" customFormat="1" x14ac:dyDescent="0.25">
      <c r="A31" s="883" t="s">
        <v>1643</v>
      </c>
      <c r="B31" s="883" t="s">
        <v>1581</v>
      </c>
      <c r="C31" s="883" t="s">
        <v>1582</v>
      </c>
      <c r="D31" s="883" t="s">
        <v>1633</v>
      </c>
      <c r="E31" s="883" t="s">
        <v>824</v>
      </c>
      <c r="F31" s="883" t="s">
        <v>1584</v>
      </c>
      <c r="G31" s="884">
        <v>42140</v>
      </c>
      <c r="H31" s="888">
        <v>43535</v>
      </c>
      <c r="I31" s="883" t="s">
        <v>1644</v>
      </c>
      <c r="J31" s="885">
        <v>43535</v>
      </c>
      <c r="K31" s="885">
        <v>43535</v>
      </c>
      <c r="L31" s="883">
        <v>0</v>
      </c>
      <c r="M31" s="886">
        <v>1.9</v>
      </c>
      <c r="N31" s="883" t="s">
        <v>1586</v>
      </c>
      <c r="O31" s="883" t="s">
        <v>1587</v>
      </c>
      <c r="P31" s="883">
        <v>3</v>
      </c>
      <c r="Q31" s="883">
        <v>0</v>
      </c>
      <c r="R31" s="883">
        <v>2019</v>
      </c>
      <c r="S31" s="886">
        <v>80066</v>
      </c>
    </row>
    <row r="32" spans="1:22" s="396" customFormat="1" x14ac:dyDescent="0.25">
      <c r="A32" s="883" t="s">
        <v>1645</v>
      </c>
      <c r="B32" s="883" t="s">
        <v>1581</v>
      </c>
      <c r="C32" s="883" t="s">
        <v>1582</v>
      </c>
      <c r="D32" s="883" t="s">
        <v>1595</v>
      </c>
      <c r="E32" s="883" t="s">
        <v>1596</v>
      </c>
      <c r="F32" s="883" t="s">
        <v>1584</v>
      </c>
      <c r="G32" s="884">
        <v>30263</v>
      </c>
      <c r="H32" s="888">
        <v>43536</v>
      </c>
      <c r="I32" s="883" t="s">
        <v>1646</v>
      </c>
      <c r="J32" s="885">
        <v>43536</v>
      </c>
      <c r="K32" s="885">
        <v>43536</v>
      </c>
      <c r="L32" s="883">
        <v>0</v>
      </c>
      <c r="M32" s="886">
        <v>1.9</v>
      </c>
      <c r="N32" s="883" t="s">
        <v>1586</v>
      </c>
      <c r="O32" s="883" t="s">
        <v>1587</v>
      </c>
      <c r="P32" s="883">
        <v>3</v>
      </c>
      <c r="Q32" s="883" t="e">
        <v>#N/A</v>
      </c>
      <c r="R32" s="883">
        <v>2019</v>
      </c>
      <c r="S32" s="886">
        <v>57499.7</v>
      </c>
    </row>
    <row r="33" spans="1:19" s="396" customFormat="1" x14ac:dyDescent="0.25">
      <c r="A33" s="883" t="s">
        <v>1645</v>
      </c>
      <c r="B33" s="883" t="s">
        <v>1581</v>
      </c>
      <c r="C33" s="883" t="s">
        <v>1582</v>
      </c>
      <c r="D33" s="883" t="s">
        <v>1595</v>
      </c>
      <c r="E33" s="883" t="s">
        <v>1596</v>
      </c>
      <c r="F33" s="883" t="s">
        <v>1584</v>
      </c>
      <c r="G33" s="884">
        <v>-30263</v>
      </c>
      <c r="H33" s="888">
        <v>43536</v>
      </c>
      <c r="I33" s="883" t="s">
        <v>1647</v>
      </c>
      <c r="J33" s="885">
        <v>43536</v>
      </c>
      <c r="K33" s="885">
        <v>43536</v>
      </c>
      <c r="L33" s="883">
        <v>30263</v>
      </c>
      <c r="M33" s="886">
        <v>1.9</v>
      </c>
      <c r="N33" s="883" t="s">
        <v>1586</v>
      </c>
      <c r="O33" s="883" t="s">
        <v>1587</v>
      </c>
      <c r="P33" s="883">
        <v>3</v>
      </c>
      <c r="Q33" s="883" t="e">
        <v>#N/A</v>
      </c>
      <c r="R33" s="883">
        <v>2019</v>
      </c>
      <c r="S33" s="886">
        <v>-57499.7</v>
      </c>
    </row>
    <row r="34" spans="1:19" s="396" customFormat="1" x14ac:dyDescent="0.25">
      <c r="A34" s="883" t="s">
        <v>1645</v>
      </c>
      <c r="B34" s="883" t="s">
        <v>1581</v>
      </c>
      <c r="C34" s="883" t="s">
        <v>1582</v>
      </c>
      <c r="D34" s="883" t="s">
        <v>1595</v>
      </c>
      <c r="E34" s="883" t="s">
        <v>1596</v>
      </c>
      <c r="F34" s="883" t="s">
        <v>1584</v>
      </c>
      <c r="G34" s="884">
        <v>30263</v>
      </c>
      <c r="H34" s="888">
        <v>43536</v>
      </c>
      <c r="I34" s="883" t="s">
        <v>1648</v>
      </c>
      <c r="J34" s="885">
        <v>43536</v>
      </c>
      <c r="K34" s="885">
        <v>43536</v>
      </c>
      <c r="L34" s="883">
        <v>0</v>
      </c>
      <c r="M34" s="886">
        <v>1.9</v>
      </c>
      <c r="N34" s="883" t="s">
        <v>1586</v>
      </c>
      <c r="O34" s="883" t="s">
        <v>1587</v>
      </c>
      <c r="P34" s="883">
        <v>3</v>
      </c>
      <c r="Q34" s="883" t="e">
        <v>#N/A</v>
      </c>
      <c r="R34" s="883">
        <v>2019</v>
      </c>
      <c r="S34" s="886">
        <v>57499.7</v>
      </c>
    </row>
    <row r="35" spans="1:19" s="396" customFormat="1" x14ac:dyDescent="0.25">
      <c r="A35" s="883" t="s">
        <v>1649</v>
      </c>
      <c r="B35" s="883" t="s">
        <v>1581</v>
      </c>
      <c r="C35" s="883" t="s">
        <v>1582</v>
      </c>
      <c r="D35" s="883" t="s">
        <v>1633</v>
      </c>
      <c r="E35" s="883" t="s">
        <v>824</v>
      </c>
      <c r="F35" s="883" t="s">
        <v>1584</v>
      </c>
      <c r="G35" s="884">
        <v>33560</v>
      </c>
      <c r="H35" s="888">
        <v>43539</v>
      </c>
      <c r="I35" s="883" t="s">
        <v>1650</v>
      </c>
      <c r="J35" s="885">
        <v>43539</v>
      </c>
      <c r="K35" s="885">
        <v>43539</v>
      </c>
      <c r="L35" s="883">
        <v>0</v>
      </c>
      <c r="M35" s="886">
        <v>1.9</v>
      </c>
      <c r="N35" s="883" t="s">
        <v>1586</v>
      </c>
      <c r="O35" s="883" t="s">
        <v>1587</v>
      </c>
      <c r="P35" s="883">
        <v>3</v>
      </c>
      <c r="Q35" s="883">
        <v>0</v>
      </c>
      <c r="R35" s="883">
        <v>2019</v>
      </c>
      <c r="S35" s="886">
        <v>63764</v>
      </c>
    </row>
    <row r="36" spans="1:19" s="396" customFormat="1" x14ac:dyDescent="0.25">
      <c r="A36" s="883" t="s">
        <v>1651</v>
      </c>
      <c r="B36" s="883" t="s">
        <v>1581</v>
      </c>
      <c r="C36" s="883" t="s">
        <v>1582</v>
      </c>
      <c r="D36" s="883" t="s">
        <v>1595</v>
      </c>
      <c r="E36" s="883" t="s">
        <v>1596</v>
      </c>
      <c r="F36" s="883" t="s">
        <v>1584</v>
      </c>
      <c r="G36" s="884">
        <v>31690</v>
      </c>
      <c r="H36" s="888">
        <v>43545</v>
      </c>
      <c r="I36" s="883" t="s">
        <v>1652</v>
      </c>
      <c r="J36" s="885">
        <v>43545</v>
      </c>
      <c r="K36" s="885">
        <v>43545</v>
      </c>
      <c r="L36" s="883">
        <v>0</v>
      </c>
      <c r="M36" s="886">
        <v>1.9</v>
      </c>
      <c r="N36" s="883" t="s">
        <v>1586</v>
      </c>
      <c r="O36" s="883" t="s">
        <v>1587</v>
      </c>
      <c r="P36" s="883">
        <v>3</v>
      </c>
      <c r="Q36" s="883" t="e">
        <v>#N/A</v>
      </c>
      <c r="R36" s="883">
        <v>2019</v>
      </c>
      <c r="S36" s="886">
        <v>60211</v>
      </c>
    </row>
    <row r="37" spans="1:19" s="396" customFormat="1" x14ac:dyDescent="0.25">
      <c r="A37" s="883" t="s">
        <v>1651</v>
      </c>
      <c r="B37" s="883" t="s">
        <v>1581</v>
      </c>
      <c r="C37" s="883" t="s">
        <v>1582</v>
      </c>
      <c r="D37" s="883" t="s">
        <v>1595</v>
      </c>
      <c r="E37" s="883" t="s">
        <v>1596</v>
      </c>
      <c r="F37" s="883" t="s">
        <v>1584</v>
      </c>
      <c r="G37" s="884">
        <v>-31690</v>
      </c>
      <c r="H37" s="888">
        <v>43545</v>
      </c>
      <c r="I37" s="883" t="s">
        <v>1653</v>
      </c>
      <c r="J37" s="885">
        <v>43545</v>
      </c>
      <c r="K37" s="885">
        <v>43545</v>
      </c>
      <c r="L37" s="883">
        <v>31690</v>
      </c>
      <c r="M37" s="886">
        <v>1.9</v>
      </c>
      <c r="N37" s="883" t="s">
        <v>1586</v>
      </c>
      <c r="O37" s="883" t="s">
        <v>1587</v>
      </c>
      <c r="P37" s="883">
        <v>3</v>
      </c>
      <c r="Q37" s="883" t="e">
        <v>#N/A</v>
      </c>
      <c r="R37" s="883">
        <v>2019</v>
      </c>
      <c r="S37" s="886">
        <v>-60211</v>
      </c>
    </row>
    <row r="38" spans="1:19" s="396" customFormat="1" x14ac:dyDescent="0.25">
      <c r="A38" s="883" t="s">
        <v>1651</v>
      </c>
      <c r="B38" s="883" t="s">
        <v>1654</v>
      </c>
      <c r="C38" s="883" t="s">
        <v>1582</v>
      </c>
      <c r="D38" s="883" t="s">
        <v>1595</v>
      </c>
      <c r="E38" s="883" t="s">
        <v>1596</v>
      </c>
      <c r="F38" s="883" t="s">
        <v>1584</v>
      </c>
      <c r="G38" s="884">
        <v>31690</v>
      </c>
      <c r="H38" s="888">
        <v>43545</v>
      </c>
      <c r="I38" s="883" t="s">
        <v>1655</v>
      </c>
      <c r="J38" s="885">
        <v>43545</v>
      </c>
      <c r="K38" s="885">
        <v>43545</v>
      </c>
      <c r="L38" s="883">
        <v>0</v>
      </c>
      <c r="M38" s="886">
        <v>1.9</v>
      </c>
      <c r="N38" s="883" t="s">
        <v>1586</v>
      </c>
      <c r="O38" s="883" t="s">
        <v>1587</v>
      </c>
      <c r="P38" s="883">
        <v>3</v>
      </c>
      <c r="Q38" s="883" t="e">
        <v>#N/A</v>
      </c>
      <c r="R38" s="883">
        <v>2019</v>
      </c>
      <c r="S38" s="886">
        <v>60211</v>
      </c>
    </row>
    <row r="39" spans="1:19" s="396" customFormat="1" x14ac:dyDescent="0.25">
      <c r="A39" s="883" t="s">
        <v>1656</v>
      </c>
      <c r="B39" s="883" t="s">
        <v>1581</v>
      </c>
      <c r="C39" s="883" t="s">
        <v>1582</v>
      </c>
      <c r="D39" s="883" t="s">
        <v>1633</v>
      </c>
      <c r="E39" s="883" t="s">
        <v>824</v>
      </c>
      <c r="F39" s="883" t="s">
        <v>1584</v>
      </c>
      <c r="G39" s="884">
        <v>34720</v>
      </c>
      <c r="H39" s="888">
        <v>43552</v>
      </c>
      <c r="I39" s="883" t="s">
        <v>1657</v>
      </c>
      <c r="J39" s="885">
        <v>43552</v>
      </c>
      <c r="K39" s="885">
        <v>43552</v>
      </c>
      <c r="L39" s="883">
        <v>0</v>
      </c>
      <c r="M39" s="886">
        <v>1.9</v>
      </c>
      <c r="N39" s="883" t="s">
        <v>1586</v>
      </c>
      <c r="O39" s="883" t="s">
        <v>1587</v>
      </c>
      <c r="P39" s="883">
        <v>3</v>
      </c>
      <c r="Q39" s="883">
        <v>0</v>
      </c>
      <c r="R39" s="883">
        <v>2019</v>
      </c>
      <c r="S39" s="886">
        <v>65968</v>
      </c>
    </row>
    <row r="40" spans="1:19" s="396" customFormat="1" x14ac:dyDescent="0.25">
      <c r="A40" s="883" t="s">
        <v>1658</v>
      </c>
      <c r="B40" s="883" t="s">
        <v>1581</v>
      </c>
      <c r="C40" s="883" t="s">
        <v>1582</v>
      </c>
      <c r="D40" s="883" t="s">
        <v>1583</v>
      </c>
      <c r="E40" s="883" t="s">
        <v>577</v>
      </c>
      <c r="F40" s="883" t="s">
        <v>1584</v>
      </c>
      <c r="G40" s="884">
        <v>30420</v>
      </c>
      <c r="H40" s="888">
        <v>43553</v>
      </c>
      <c r="I40" s="883" t="s">
        <v>1659</v>
      </c>
      <c r="J40" s="885">
        <v>43553</v>
      </c>
      <c r="K40" s="885">
        <v>43553</v>
      </c>
      <c r="L40" s="883">
        <v>0</v>
      </c>
      <c r="M40" s="886">
        <v>1.9</v>
      </c>
      <c r="N40" s="883" t="s">
        <v>1586</v>
      </c>
      <c r="O40" s="883" t="s">
        <v>1587</v>
      </c>
      <c r="P40" s="883">
        <v>3</v>
      </c>
      <c r="Q40" s="883" t="e">
        <v>#N/A</v>
      </c>
      <c r="R40" s="883">
        <v>2019</v>
      </c>
      <c r="S40" s="886">
        <v>57798</v>
      </c>
    </row>
    <row r="41" spans="1:19" s="396" customFormat="1" x14ac:dyDescent="0.25">
      <c r="A41" s="889"/>
      <c r="B41" s="889"/>
      <c r="C41" s="889"/>
      <c r="D41" s="889"/>
      <c r="E41" s="889"/>
      <c r="F41" s="889"/>
      <c r="G41" s="890">
        <f>SUM(G30:G40)</f>
        <v>232993</v>
      </c>
      <c r="H41" s="891"/>
      <c r="I41" s="889"/>
      <c r="J41" s="892"/>
      <c r="K41" s="892"/>
      <c r="L41" s="889"/>
      <c r="M41" s="893"/>
      <c r="N41" s="889"/>
      <c r="O41" s="889"/>
      <c r="P41" s="889"/>
      <c r="Q41" s="889"/>
      <c r="R41" s="889"/>
      <c r="S41" s="893"/>
    </row>
    <row r="42" spans="1:19" s="396" customFormat="1" x14ac:dyDescent="0.25">
      <c r="A42" s="883" t="s">
        <v>1662</v>
      </c>
      <c r="B42" s="883" t="s">
        <v>1581</v>
      </c>
      <c r="C42" s="883" t="s">
        <v>1582</v>
      </c>
      <c r="D42" s="883" t="s">
        <v>1633</v>
      </c>
      <c r="E42" s="883" t="s">
        <v>824</v>
      </c>
      <c r="F42" s="883" t="s">
        <v>1584</v>
      </c>
      <c r="G42" s="884">
        <v>35360</v>
      </c>
      <c r="H42" s="888">
        <v>43564</v>
      </c>
      <c r="I42" s="883" t="s">
        <v>1663</v>
      </c>
      <c r="J42" s="885">
        <v>43564</v>
      </c>
      <c r="K42" s="885">
        <v>43564</v>
      </c>
      <c r="L42" s="883">
        <v>0</v>
      </c>
      <c r="M42" s="886">
        <v>1.9</v>
      </c>
      <c r="N42" s="883" t="s">
        <v>1586</v>
      </c>
      <c r="O42" s="883" t="s">
        <v>1587</v>
      </c>
      <c r="P42" s="883">
        <v>4</v>
      </c>
      <c r="Q42" s="883">
        <v>0</v>
      </c>
      <c r="R42" s="883">
        <v>2019</v>
      </c>
      <c r="S42" s="886">
        <v>67184</v>
      </c>
    </row>
    <row r="43" spans="1:19" s="396" customFormat="1" x14ac:dyDescent="0.25">
      <c r="A43" s="883" t="s">
        <v>1664</v>
      </c>
      <c r="B43" s="883" t="s">
        <v>1581</v>
      </c>
      <c r="C43" s="883" t="s">
        <v>1582</v>
      </c>
      <c r="D43" s="883" t="s">
        <v>1633</v>
      </c>
      <c r="E43" s="883" t="s">
        <v>824</v>
      </c>
      <c r="F43" s="883" t="s">
        <v>1584</v>
      </c>
      <c r="G43" s="884">
        <v>31360</v>
      </c>
      <c r="H43" s="888">
        <v>43567</v>
      </c>
      <c r="I43" s="883" t="s">
        <v>1665</v>
      </c>
      <c r="J43" s="885">
        <v>43567</v>
      </c>
      <c r="K43" s="885">
        <v>43567</v>
      </c>
      <c r="L43" s="883">
        <v>0</v>
      </c>
      <c r="M43" s="886">
        <v>1.9</v>
      </c>
      <c r="N43" s="883" t="s">
        <v>1586</v>
      </c>
      <c r="O43" s="883" t="s">
        <v>1587</v>
      </c>
      <c r="P43" s="883">
        <v>4</v>
      </c>
      <c r="Q43" s="883">
        <v>0</v>
      </c>
      <c r="R43" s="883">
        <v>2019</v>
      </c>
      <c r="S43" s="886">
        <v>59584</v>
      </c>
    </row>
    <row r="44" spans="1:19" s="396" customFormat="1" x14ac:dyDescent="0.25">
      <c r="A44" s="883" t="s">
        <v>1666</v>
      </c>
      <c r="B44" s="883" t="s">
        <v>1581</v>
      </c>
      <c r="C44" s="883" t="s">
        <v>1582</v>
      </c>
      <c r="D44" s="883" t="s">
        <v>1633</v>
      </c>
      <c r="E44" s="883" t="s">
        <v>824</v>
      </c>
      <c r="F44" s="883" t="s">
        <v>1584</v>
      </c>
      <c r="G44" s="884">
        <v>31680</v>
      </c>
      <c r="H44" s="888">
        <v>43574</v>
      </c>
      <c r="I44" s="883" t="s">
        <v>1667</v>
      </c>
      <c r="J44" s="885">
        <v>43574</v>
      </c>
      <c r="K44" s="885">
        <v>43574</v>
      </c>
      <c r="L44" s="883">
        <v>0</v>
      </c>
      <c r="M44" s="886">
        <v>1.9</v>
      </c>
      <c r="N44" s="883" t="s">
        <v>1586</v>
      </c>
      <c r="O44" s="883" t="s">
        <v>1587</v>
      </c>
      <c r="P44" s="883">
        <v>4</v>
      </c>
      <c r="Q44" s="883">
        <v>0</v>
      </c>
      <c r="R44" s="883">
        <v>2019</v>
      </c>
      <c r="S44" s="886">
        <v>60192</v>
      </c>
    </row>
    <row r="45" spans="1:19" s="396" customFormat="1" x14ac:dyDescent="0.25">
      <c r="A45" s="883" t="s">
        <v>1670</v>
      </c>
      <c r="B45" s="883" t="s">
        <v>1581</v>
      </c>
      <c r="C45" s="883" t="s">
        <v>1582</v>
      </c>
      <c r="D45" s="883" t="s">
        <v>1583</v>
      </c>
      <c r="E45" s="883" t="s">
        <v>577</v>
      </c>
      <c r="F45" s="883" t="s">
        <v>1584</v>
      </c>
      <c r="G45" s="884">
        <v>33220</v>
      </c>
      <c r="H45" s="888">
        <v>43577</v>
      </c>
      <c r="I45" s="883" t="s">
        <v>1671</v>
      </c>
      <c r="J45" s="885">
        <v>43577</v>
      </c>
      <c r="K45" s="885">
        <v>43577</v>
      </c>
      <c r="L45" s="883">
        <v>0</v>
      </c>
      <c r="M45" s="886">
        <v>1.9</v>
      </c>
      <c r="N45" s="883" t="s">
        <v>1586</v>
      </c>
      <c r="O45" s="883" t="s">
        <v>1587</v>
      </c>
      <c r="P45" s="883">
        <v>4</v>
      </c>
      <c r="Q45" s="883" t="e">
        <v>#N/A</v>
      </c>
      <c r="R45" s="883">
        <v>2019</v>
      </c>
      <c r="S45" s="886">
        <v>63118</v>
      </c>
    </row>
    <row r="46" spans="1:19" s="396" customFormat="1" x14ac:dyDescent="0.25">
      <c r="A46" s="883" t="s">
        <v>1670</v>
      </c>
      <c r="B46" s="883" t="s">
        <v>1581</v>
      </c>
      <c r="C46" s="883" t="s">
        <v>1582</v>
      </c>
      <c r="D46" s="883" t="s">
        <v>1583</v>
      </c>
      <c r="E46" s="883" t="s">
        <v>577</v>
      </c>
      <c r="F46" s="883" t="s">
        <v>1584</v>
      </c>
      <c r="G46" s="884">
        <v>-33220</v>
      </c>
      <c r="H46" s="888">
        <v>43577</v>
      </c>
      <c r="I46" s="883" t="s">
        <v>1672</v>
      </c>
      <c r="J46" s="885">
        <v>43577</v>
      </c>
      <c r="K46" s="885">
        <v>43577</v>
      </c>
      <c r="L46" s="883">
        <v>33220</v>
      </c>
      <c r="M46" s="886">
        <v>1.9</v>
      </c>
      <c r="N46" s="883" t="s">
        <v>1586</v>
      </c>
      <c r="O46" s="883" t="s">
        <v>1587</v>
      </c>
      <c r="P46" s="883">
        <v>4</v>
      </c>
      <c r="Q46" s="883" t="e">
        <v>#N/A</v>
      </c>
      <c r="R46" s="883">
        <v>2019</v>
      </c>
      <c r="S46" s="886">
        <v>-63118</v>
      </c>
    </row>
    <row r="47" spans="1:19" s="396" customFormat="1" x14ac:dyDescent="0.25">
      <c r="A47" s="883" t="s">
        <v>1670</v>
      </c>
      <c r="B47" s="883" t="s">
        <v>1581</v>
      </c>
      <c r="C47" s="883" t="s">
        <v>1582</v>
      </c>
      <c r="D47" s="883" t="s">
        <v>1583</v>
      </c>
      <c r="E47" s="883" t="s">
        <v>577</v>
      </c>
      <c r="F47" s="883" t="s">
        <v>1584</v>
      </c>
      <c r="G47" s="884">
        <v>33220</v>
      </c>
      <c r="H47" s="888">
        <v>43577</v>
      </c>
      <c r="I47" s="883" t="s">
        <v>1673</v>
      </c>
      <c r="J47" s="885">
        <v>43577</v>
      </c>
      <c r="K47" s="885">
        <v>43577</v>
      </c>
      <c r="L47" s="883">
        <v>0</v>
      </c>
      <c r="M47" s="886">
        <v>1.95</v>
      </c>
      <c r="N47" s="883" t="s">
        <v>1586</v>
      </c>
      <c r="O47" s="883" t="s">
        <v>1587</v>
      </c>
      <c r="P47" s="883">
        <v>4</v>
      </c>
      <c r="Q47" s="883" t="e">
        <v>#N/A</v>
      </c>
      <c r="R47" s="883">
        <v>2019</v>
      </c>
      <c r="S47" s="886">
        <v>64779</v>
      </c>
    </row>
    <row r="48" spans="1:19" s="396" customFormat="1" x14ac:dyDescent="0.25">
      <c r="A48" s="883" t="s">
        <v>1660</v>
      </c>
      <c r="B48" s="883" t="s">
        <v>1581</v>
      </c>
      <c r="C48" s="883" t="s">
        <v>1582</v>
      </c>
      <c r="D48" s="883" t="s">
        <v>1595</v>
      </c>
      <c r="E48" s="883" t="s">
        <v>1596</v>
      </c>
      <c r="F48" s="883" t="s">
        <v>1584</v>
      </c>
      <c r="G48" s="884">
        <v>29600</v>
      </c>
      <c r="H48" s="888">
        <v>43556</v>
      </c>
      <c r="I48" s="883" t="s">
        <v>1661</v>
      </c>
      <c r="J48" s="885">
        <v>43556</v>
      </c>
      <c r="K48" s="885">
        <v>43556</v>
      </c>
      <c r="L48" s="883">
        <v>0</v>
      </c>
      <c r="M48" s="886">
        <v>1.9</v>
      </c>
      <c r="N48" s="883" t="s">
        <v>1586</v>
      </c>
      <c r="O48" s="883" t="s">
        <v>1587</v>
      </c>
      <c r="P48" s="883">
        <v>4</v>
      </c>
      <c r="Q48" s="883" t="e">
        <v>#N/A</v>
      </c>
      <c r="R48" s="883">
        <v>2019</v>
      </c>
      <c r="S48" s="886">
        <v>56240</v>
      </c>
    </row>
    <row r="49" spans="1:24" s="396" customFormat="1" x14ac:dyDescent="0.25">
      <c r="A49" s="883" t="s">
        <v>1668</v>
      </c>
      <c r="B49" s="883" t="s">
        <v>1581</v>
      </c>
      <c r="C49" s="883" t="s">
        <v>1582</v>
      </c>
      <c r="D49" s="883" t="s">
        <v>1624</v>
      </c>
      <c r="E49" s="883" t="s">
        <v>1625</v>
      </c>
      <c r="F49" s="883" t="s">
        <v>1584</v>
      </c>
      <c r="G49" s="884">
        <v>33240</v>
      </c>
      <c r="H49" s="888">
        <v>43577</v>
      </c>
      <c r="I49" s="883" t="s">
        <v>1669</v>
      </c>
      <c r="J49" s="885">
        <v>43577</v>
      </c>
      <c r="K49" s="885">
        <v>43577</v>
      </c>
      <c r="L49" s="883">
        <v>0</v>
      </c>
      <c r="M49" s="886">
        <v>1.9</v>
      </c>
      <c r="N49" s="883" t="s">
        <v>1586</v>
      </c>
      <c r="O49" s="883" t="s">
        <v>1587</v>
      </c>
      <c r="P49" s="883">
        <v>4</v>
      </c>
      <c r="Q49" s="883" t="e">
        <v>#N/A</v>
      </c>
      <c r="R49" s="883">
        <v>2019</v>
      </c>
      <c r="S49" s="886">
        <v>63156</v>
      </c>
    </row>
    <row r="50" spans="1:24" s="396" customFormat="1" x14ac:dyDescent="0.25">
      <c r="A50" s="883" t="s">
        <v>1674</v>
      </c>
      <c r="B50" s="883" t="s">
        <v>1581</v>
      </c>
      <c r="C50" s="883" t="s">
        <v>1582</v>
      </c>
      <c r="D50" s="883" t="s">
        <v>1599</v>
      </c>
      <c r="E50" s="883" t="s">
        <v>1600</v>
      </c>
      <c r="F50" s="883" t="s">
        <v>1584</v>
      </c>
      <c r="G50" s="884">
        <v>85000</v>
      </c>
      <c r="H50" s="888">
        <v>43578</v>
      </c>
      <c r="I50" s="883" t="s">
        <v>1675</v>
      </c>
      <c r="J50" s="885">
        <v>43578</v>
      </c>
      <c r="K50" s="885">
        <v>43578</v>
      </c>
      <c r="L50" s="883">
        <v>0</v>
      </c>
      <c r="M50" s="886">
        <v>1.9</v>
      </c>
      <c r="N50" s="883" t="s">
        <v>1586</v>
      </c>
      <c r="O50" s="883" t="s">
        <v>1587</v>
      </c>
      <c r="P50" s="883">
        <v>4</v>
      </c>
      <c r="Q50" s="883" t="e">
        <v>#N/A</v>
      </c>
      <c r="R50" s="883">
        <v>2019</v>
      </c>
      <c r="S50" s="886">
        <v>161500</v>
      </c>
    </row>
    <row r="51" spans="1:24" s="396" customFormat="1" x14ac:dyDescent="0.25">
      <c r="A51" s="883" t="s">
        <v>1676</v>
      </c>
      <c r="B51" s="883" t="s">
        <v>1581</v>
      </c>
      <c r="C51" s="883" t="s">
        <v>1582</v>
      </c>
      <c r="D51" s="883" t="s">
        <v>1677</v>
      </c>
      <c r="E51" s="883" t="s">
        <v>1678</v>
      </c>
      <c r="F51" s="883" t="s">
        <v>1584</v>
      </c>
      <c r="G51" s="884">
        <v>21704</v>
      </c>
      <c r="H51" s="888">
        <v>43578</v>
      </c>
      <c r="I51" s="883" t="s">
        <v>1679</v>
      </c>
      <c r="J51" s="885">
        <v>43578</v>
      </c>
      <c r="K51" s="885">
        <v>43578</v>
      </c>
      <c r="L51" s="883">
        <v>0</v>
      </c>
      <c r="M51" s="886">
        <v>1.9</v>
      </c>
      <c r="N51" s="883" t="s">
        <v>1586</v>
      </c>
      <c r="O51" s="883" t="s">
        <v>1587</v>
      </c>
      <c r="P51" s="883">
        <v>4</v>
      </c>
      <c r="Q51" s="883" t="e">
        <v>#N/A</v>
      </c>
      <c r="R51" s="883">
        <v>2019</v>
      </c>
      <c r="S51" s="886">
        <v>41237.599999999999</v>
      </c>
    </row>
    <row r="52" spans="1:24" s="396" customFormat="1" x14ac:dyDescent="0.25">
      <c r="A52" s="889"/>
      <c r="B52" s="889"/>
      <c r="C52" s="889"/>
      <c r="D52" s="889"/>
      <c r="E52" s="889"/>
      <c r="F52" s="889"/>
      <c r="G52" s="890">
        <f>SUM(G42:G51)</f>
        <v>301164</v>
      </c>
      <c r="H52" s="891"/>
      <c r="I52" s="889"/>
      <c r="J52" s="892"/>
      <c r="K52" s="892"/>
      <c r="L52" s="889"/>
      <c r="M52" s="893"/>
      <c r="N52" s="889"/>
      <c r="O52" s="889"/>
      <c r="P52" s="889"/>
      <c r="Q52" s="889"/>
      <c r="R52" s="889"/>
      <c r="S52" s="893"/>
    </row>
    <row r="53" spans="1:24" s="396" customFormat="1" x14ac:dyDescent="0.25">
      <c r="A53" s="883" t="s">
        <v>1680</v>
      </c>
      <c r="B53" s="883" t="s">
        <v>1581</v>
      </c>
      <c r="C53" s="883" t="s">
        <v>1582</v>
      </c>
      <c r="D53" s="883" t="s">
        <v>1633</v>
      </c>
      <c r="E53" s="883" t="s">
        <v>824</v>
      </c>
      <c r="F53" s="883" t="s">
        <v>1584</v>
      </c>
      <c r="G53" s="884">
        <v>27400</v>
      </c>
      <c r="H53" s="888">
        <v>43592</v>
      </c>
      <c r="I53" s="883" t="s">
        <v>1681</v>
      </c>
      <c r="J53" s="885">
        <v>43592</v>
      </c>
      <c r="K53" s="885">
        <v>43592</v>
      </c>
      <c r="L53" s="883">
        <v>0</v>
      </c>
      <c r="M53" s="886">
        <v>1.9</v>
      </c>
      <c r="N53" s="883" t="s">
        <v>1586</v>
      </c>
      <c r="O53" s="883" t="s">
        <v>1587</v>
      </c>
      <c r="P53" s="883">
        <v>5</v>
      </c>
      <c r="Q53" s="883">
        <v>0</v>
      </c>
      <c r="R53" s="883">
        <v>2019</v>
      </c>
      <c r="S53" s="886">
        <v>52060</v>
      </c>
    </row>
    <row r="54" spans="1:24" s="396" customFormat="1" x14ac:dyDescent="0.25">
      <c r="A54" s="883" t="s">
        <v>1682</v>
      </c>
      <c r="B54" s="883" t="s">
        <v>1654</v>
      </c>
      <c r="C54" s="883" t="s">
        <v>1582</v>
      </c>
      <c r="D54" s="883" t="s">
        <v>1633</v>
      </c>
      <c r="E54" s="883" t="s">
        <v>824</v>
      </c>
      <c r="F54" s="883" t="s">
        <v>1584</v>
      </c>
      <c r="G54" s="884">
        <v>26560</v>
      </c>
      <c r="H54" s="888">
        <v>43598</v>
      </c>
      <c r="I54" s="883" t="s">
        <v>1683</v>
      </c>
      <c r="J54" s="885">
        <v>43607</v>
      </c>
      <c r="K54" s="885">
        <v>43607</v>
      </c>
      <c r="L54" s="883">
        <v>0</v>
      </c>
      <c r="M54" s="886">
        <v>1.9</v>
      </c>
      <c r="N54" s="883" t="s">
        <v>1586</v>
      </c>
      <c r="O54" s="883" t="s">
        <v>1587</v>
      </c>
      <c r="P54" s="883">
        <v>5</v>
      </c>
      <c r="Q54" s="883">
        <v>0</v>
      </c>
      <c r="R54" s="883">
        <v>2019</v>
      </c>
      <c r="S54" s="886">
        <v>50464</v>
      </c>
    </row>
    <row r="55" spans="1:24" s="396" customFormat="1" x14ac:dyDescent="0.25">
      <c r="A55" s="883" t="s">
        <v>1684</v>
      </c>
      <c r="B55" s="883" t="s">
        <v>1581</v>
      </c>
      <c r="C55" s="883" t="s">
        <v>1582</v>
      </c>
      <c r="D55" s="883" t="s">
        <v>1633</v>
      </c>
      <c r="E55" s="883" t="s">
        <v>824</v>
      </c>
      <c r="F55" s="883" t="s">
        <v>1584</v>
      </c>
      <c r="G55" s="884">
        <v>29800</v>
      </c>
      <c r="H55" s="888">
        <v>43602</v>
      </c>
      <c r="I55" s="883" t="s">
        <v>1685</v>
      </c>
      <c r="J55" s="885">
        <v>43602</v>
      </c>
      <c r="K55" s="885">
        <v>43602</v>
      </c>
      <c r="L55" s="883">
        <v>0</v>
      </c>
      <c r="M55" s="886">
        <v>1.9</v>
      </c>
      <c r="N55" s="883" t="s">
        <v>1586</v>
      </c>
      <c r="O55" s="883" t="s">
        <v>1587</v>
      </c>
      <c r="P55" s="883">
        <v>5</v>
      </c>
      <c r="Q55" s="883">
        <v>0</v>
      </c>
      <c r="R55" s="883">
        <v>2019</v>
      </c>
      <c r="S55" s="886">
        <v>56620</v>
      </c>
      <c r="W55" s="396">
        <v>4974</v>
      </c>
      <c r="X55" s="396" t="s">
        <v>1868</v>
      </c>
    </row>
    <row r="56" spans="1:24" s="396" customFormat="1" x14ac:dyDescent="0.25">
      <c r="A56" s="883" t="s">
        <v>1693</v>
      </c>
      <c r="B56" s="883" t="s">
        <v>1581</v>
      </c>
      <c r="C56" s="883" t="s">
        <v>1582</v>
      </c>
      <c r="D56" s="883" t="s">
        <v>1633</v>
      </c>
      <c r="E56" s="883" t="s">
        <v>824</v>
      </c>
      <c r="F56" s="883" t="s">
        <v>1584</v>
      </c>
      <c r="G56" s="884">
        <v>32400</v>
      </c>
      <c r="H56" s="888">
        <v>43610</v>
      </c>
      <c r="I56" s="883" t="s">
        <v>1694</v>
      </c>
      <c r="J56" s="885">
        <v>43610</v>
      </c>
      <c r="K56" s="885">
        <v>43610</v>
      </c>
      <c r="L56" s="883">
        <v>0</v>
      </c>
      <c r="M56" s="886">
        <v>1.9</v>
      </c>
      <c r="N56" s="883" t="s">
        <v>1586</v>
      </c>
      <c r="O56" s="883" t="s">
        <v>1587</v>
      </c>
      <c r="P56" s="883">
        <v>5</v>
      </c>
      <c r="Q56" s="883">
        <v>0</v>
      </c>
      <c r="R56" s="883">
        <v>2019</v>
      </c>
      <c r="S56" s="886">
        <v>61560</v>
      </c>
    </row>
    <row r="57" spans="1:24" s="396" customFormat="1" x14ac:dyDescent="0.25">
      <c r="A57" s="883" t="s">
        <v>1686</v>
      </c>
      <c r="B57" s="883" t="s">
        <v>1581</v>
      </c>
      <c r="C57" s="883" t="s">
        <v>1582</v>
      </c>
      <c r="D57" s="883" t="s">
        <v>1583</v>
      </c>
      <c r="E57" s="883" t="s">
        <v>577</v>
      </c>
      <c r="F57" s="883" t="s">
        <v>1584</v>
      </c>
      <c r="G57" s="884">
        <v>24440</v>
      </c>
      <c r="H57" s="888">
        <v>43605</v>
      </c>
      <c r="I57" s="883" t="s">
        <v>1687</v>
      </c>
      <c r="J57" s="885">
        <v>43605</v>
      </c>
      <c r="K57" s="885">
        <v>43605</v>
      </c>
      <c r="L57" s="883">
        <v>0</v>
      </c>
      <c r="M57" s="886">
        <v>1.9</v>
      </c>
      <c r="N57" s="883" t="s">
        <v>1586</v>
      </c>
      <c r="O57" s="883" t="s">
        <v>1587</v>
      </c>
      <c r="P57" s="883">
        <v>5</v>
      </c>
      <c r="Q57" s="883" t="e">
        <v>#N/A</v>
      </c>
      <c r="R57" s="883">
        <v>2019</v>
      </c>
      <c r="S57" s="886">
        <v>46436</v>
      </c>
    </row>
    <row r="58" spans="1:24" s="396" customFormat="1" x14ac:dyDescent="0.25">
      <c r="A58" s="883" t="s">
        <v>1686</v>
      </c>
      <c r="B58" s="883" t="s">
        <v>1581</v>
      </c>
      <c r="C58" s="883" t="s">
        <v>1582</v>
      </c>
      <c r="D58" s="883" t="s">
        <v>1583</v>
      </c>
      <c r="E58" s="883" t="s">
        <v>577</v>
      </c>
      <c r="F58" s="883" t="s">
        <v>1584</v>
      </c>
      <c r="G58" s="884">
        <v>-24440</v>
      </c>
      <c r="H58" s="888">
        <v>43605</v>
      </c>
      <c r="I58" s="883" t="s">
        <v>1688</v>
      </c>
      <c r="J58" s="885">
        <v>43605</v>
      </c>
      <c r="K58" s="885">
        <v>43605</v>
      </c>
      <c r="L58" s="883">
        <v>24440</v>
      </c>
      <c r="M58" s="886">
        <v>1.9</v>
      </c>
      <c r="N58" s="883" t="s">
        <v>1586</v>
      </c>
      <c r="O58" s="883" t="s">
        <v>1587</v>
      </c>
      <c r="P58" s="883">
        <v>5</v>
      </c>
      <c r="Q58" s="883" t="e">
        <v>#N/A</v>
      </c>
      <c r="R58" s="883">
        <v>2019</v>
      </c>
      <c r="S58" s="886">
        <v>-46436</v>
      </c>
    </row>
    <row r="59" spans="1:24" s="396" customFormat="1" x14ac:dyDescent="0.25">
      <c r="A59" s="883" t="s">
        <v>1686</v>
      </c>
      <c r="B59" s="883" t="s">
        <v>1581</v>
      </c>
      <c r="C59" s="883" t="s">
        <v>1582</v>
      </c>
      <c r="D59" s="883" t="s">
        <v>1583</v>
      </c>
      <c r="E59" s="883" t="s">
        <v>577</v>
      </c>
      <c r="F59" s="883" t="s">
        <v>1584</v>
      </c>
      <c r="G59" s="884">
        <v>24440</v>
      </c>
      <c r="H59" s="888">
        <v>43605</v>
      </c>
      <c r="I59" s="883" t="s">
        <v>1689</v>
      </c>
      <c r="J59" s="885">
        <v>43605</v>
      </c>
      <c r="K59" s="885">
        <v>43605</v>
      </c>
      <c r="L59" s="883">
        <v>0</v>
      </c>
      <c r="M59" s="886">
        <v>1.95</v>
      </c>
      <c r="N59" s="883" t="s">
        <v>1586</v>
      </c>
      <c r="O59" s="883" t="s">
        <v>1587</v>
      </c>
      <c r="P59" s="883">
        <v>5</v>
      </c>
      <c r="Q59" s="883" t="e">
        <v>#N/A</v>
      </c>
      <c r="R59" s="883">
        <v>2019</v>
      </c>
      <c r="S59" s="886">
        <v>47658</v>
      </c>
    </row>
    <row r="60" spans="1:24" s="396" customFormat="1" x14ac:dyDescent="0.25">
      <c r="A60" s="883" t="s">
        <v>1686</v>
      </c>
      <c r="B60" s="883" t="s">
        <v>1581</v>
      </c>
      <c r="C60" s="883" t="s">
        <v>1582</v>
      </c>
      <c r="D60" s="883" t="s">
        <v>1583</v>
      </c>
      <c r="E60" s="883" t="s">
        <v>577</v>
      </c>
      <c r="F60" s="883" t="s">
        <v>1584</v>
      </c>
      <c r="G60" s="884">
        <v>-24440</v>
      </c>
      <c r="H60" s="888">
        <v>43605</v>
      </c>
      <c r="I60" s="883" t="s">
        <v>1690</v>
      </c>
      <c r="J60" s="885">
        <v>43605</v>
      </c>
      <c r="K60" s="885">
        <v>43605</v>
      </c>
      <c r="L60" s="883">
        <v>24440</v>
      </c>
      <c r="M60" s="886">
        <v>1.95</v>
      </c>
      <c r="N60" s="883" t="s">
        <v>1586</v>
      </c>
      <c r="O60" s="883" t="s">
        <v>1587</v>
      </c>
      <c r="P60" s="883">
        <v>5</v>
      </c>
      <c r="Q60" s="883" t="e">
        <v>#N/A</v>
      </c>
      <c r="R60" s="883">
        <v>2019</v>
      </c>
      <c r="S60" s="886">
        <v>-47658</v>
      </c>
    </row>
    <row r="61" spans="1:24" s="396" customFormat="1" x14ac:dyDescent="0.25">
      <c r="A61" s="883" t="s">
        <v>1695</v>
      </c>
      <c r="B61" s="883" t="s">
        <v>1581</v>
      </c>
      <c r="C61" s="883" t="s">
        <v>1582</v>
      </c>
      <c r="D61" s="883" t="s">
        <v>1624</v>
      </c>
      <c r="E61" s="883" t="s">
        <v>1625</v>
      </c>
      <c r="F61" s="883" t="s">
        <v>1584</v>
      </c>
      <c r="G61" s="884">
        <v>33500</v>
      </c>
      <c r="H61" s="888">
        <v>43616</v>
      </c>
      <c r="I61" s="883" t="s">
        <v>1696</v>
      </c>
      <c r="J61" s="885">
        <v>43616</v>
      </c>
      <c r="K61" s="885">
        <v>43616</v>
      </c>
      <c r="L61" s="883">
        <v>0</v>
      </c>
      <c r="M61" s="886">
        <v>1.9</v>
      </c>
      <c r="N61" s="883" t="s">
        <v>1586</v>
      </c>
      <c r="O61" s="883" t="s">
        <v>1587</v>
      </c>
      <c r="P61" s="883">
        <v>5</v>
      </c>
      <c r="Q61" s="883" t="e">
        <v>#N/A</v>
      </c>
      <c r="R61" s="883">
        <v>2019</v>
      </c>
      <c r="S61" s="886">
        <v>63650</v>
      </c>
    </row>
    <row r="62" spans="1:24" s="396" customFormat="1" x14ac:dyDescent="0.25">
      <c r="A62" s="883" t="s">
        <v>1691</v>
      </c>
      <c r="B62" s="883" t="s">
        <v>1581</v>
      </c>
      <c r="C62" s="883" t="s">
        <v>1582</v>
      </c>
      <c r="D62" s="883" t="s">
        <v>1599</v>
      </c>
      <c r="E62" s="883" t="s">
        <v>1600</v>
      </c>
      <c r="F62" s="883" t="s">
        <v>1584</v>
      </c>
      <c r="G62" s="884">
        <v>124960</v>
      </c>
      <c r="H62" s="888">
        <v>43609</v>
      </c>
      <c r="I62" s="883" t="s">
        <v>1692</v>
      </c>
      <c r="J62" s="885">
        <v>43609</v>
      </c>
      <c r="K62" s="885">
        <v>43609</v>
      </c>
      <c r="L62" s="883">
        <v>0</v>
      </c>
      <c r="M62" s="886">
        <v>1.9</v>
      </c>
      <c r="N62" s="883" t="s">
        <v>1586</v>
      </c>
      <c r="O62" s="883" t="s">
        <v>1587</v>
      </c>
      <c r="P62" s="883">
        <v>5</v>
      </c>
      <c r="Q62" s="883" t="e">
        <v>#N/A</v>
      </c>
      <c r="R62" s="883">
        <v>2019</v>
      </c>
      <c r="S62" s="886">
        <v>237424</v>
      </c>
    </row>
    <row r="63" spans="1:24" s="396" customFormat="1" x14ac:dyDescent="0.25">
      <c r="A63" s="883" t="s">
        <v>1697</v>
      </c>
      <c r="B63" s="883" t="s">
        <v>1581</v>
      </c>
      <c r="C63" s="883" t="s">
        <v>1582</v>
      </c>
      <c r="D63" s="883" t="s">
        <v>1677</v>
      </c>
      <c r="E63" s="883" t="s">
        <v>1678</v>
      </c>
      <c r="F63" s="883" t="s">
        <v>1584</v>
      </c>
      <c r="G63" s="884">
        <v>27620</v>
      </c>
      <c r="H63" s="888">
        <v>43616</v>
      </c>
      <c r="I63" s="883" t="s">
        <v>1698</v>
      </c>
      <c r="J63" s="885">
        <v>43616</v>
      </c>
      <c r="K63" s="885">
        <v>43616</v>
      </c>
      <c r="L63" s="883">
        <v>0</v>
      </c>
      <c r="M63" s="886">
        <v>1.9</v>
      </c>
      <c r="N63" s="883" t="s">
        <v>1586</v>
      </c>
      <c r="O63" s="883" t="s">
        <v>1587</v>
      </c>
      <c r="P63" s="883">
        <v>5</v>
      </c>
      <c r="Q63" s="883" t="e">
        <v>#N/A</v>
      </c>
      <c r="R63" s="883">
        <v>2019</v>
      </c>
      <c r="S63" s="886">
        <v>52478</v>
      </c>
    </row>
    <row r="64" spans="1:24" s="396" customFormat="1" x14ac:dyDescent="0.25">
      <c r="A64" s="883" t="s">
        <v>1699</v>
      </c>
      <c r="B64" s="883" t="s">
        <v>1581</v>
      </c>
      <c r="C64" s="883" t="s">
        <v>1582</v>
      </c>
      <c r="D64" s="883" t="s">
        <v>1677</v>
      </c>
      <c r="E64" s="883" t="s">
        <v>1678</v>
      </c>
      <c r="F64" s="883" t="s">
        <v>1584</v>
      </c>
      <c r="G64" s="884">
        <v>4974</v>
      </c>
      <c r="H64" s="888">
        <v>43616</v>
      </c>
      <c r="I64" s="883" t="s">
        <v>1700</v>
      </c>
      <c r="J64" s="885">
        <v>43616</v>
      </c>
      <c r="K64" s="885">
        <v>43616</v>
      </c>
      <c r="L64" s="883">
        <v>0</v>
      </c>
      <c r="M64" s="886">
        <v>1.9</v>
      </c>
      <c r="N64" s="883" t="s">
        <v>1586</v>
      </c>
      <c r="O64" s="883" t="s">
        <v>1587</v>
      </c>
      <c r="P64" s="883">
        <v>5</v>
      </c>
      <c r="Q64" s="883" t="e">
        <v>#N/A</v>
      </c>
      <c r="R64" s="883">
        <v>2019</v>
      </c>
      <c r="S64" s="886">
        <v>9450.6</v>
      </c>
    </row>
    <row r="65" spans="1:22" s="396" customFormat="1" x14ac:dyDescent="0.25">
      <c r="A65" s="889"/>
      <c r="B65" s="889"/>
      <c r="C65" s="889"/>
      <c r="D65" s="889"/>
      <c r="E65" s="889"/>
      <c r="F65" s="889"/>
      <c r="G65" s="890">
        <f>SUM(G53:G64)</f>
        <v>307214</v>
      </c>
      <c r="H65" s="891"/>
      <c r="I65" s="889"/>
      <c r="J65" s="892"/>
      <c r="K65" s="892"/>
      <c r="L65" s="889"/>
      <c r="M65" s="893"/>
      <c r="N65" s="889"/>
      <c r="O65" s="889"/>
      <c r="P65" s="889"/>
      <c r="Q65" s="889"/>
      <c r="R65" s="889"/>
      <c r="S65" s="893"/>
      <c r="V65" s="897">
        <f>G65-W55</f>
        <v>302240</v>
      </c>
    </row>
    <row r="66" spans="1:22" s="396" customFormat="1" x14ac:dyDescent="0.25">
      <c r="A66" s="883" t="s">
        <v>1701</v>
      </c>
      <c r="B66" s="883" t="s">
        <v>1581</v>
      </c>
      <c r="C66" s="883" t="s">
        <v>1582</v>
      </c>
      <c r="D66" s="883" t="s">
        <v>1599</v>
      </c>
      <c r="E66" s="883" t="s">
        <v>1600</v>
      </c>
      <c r="F66" s="883" t="s">
        <v>1584</v>
      </c>
      <c r="G66" s="884">
        <v>33820</v>
      </c>
      <c r="H66" s="888">
        <v>43634</v>
      </c>
      <c r="I66" s="883" t="s">
        <v>1702</v>
      </c>
      <c r="J66" s="885">
        <v>43634</v>
      </c>
      <c r="K66" s="885">
        <v>43634</v>
      </c>
      <c r="L66" s="883">
        <v>0</v>
      </c>
      <c r="M66" s="886">
        <v>1.9</v>
      </c>
      <c r="N66" s="883" t="s">
        <v>1586</v>
      </c>
      <c r="O66" s="883" t="s">
        <v>1587</v>
      </c>
      <c r="P66" s="883">
        <v>6</v>
      </c>
      <c r="Q66" s="883" t="e">
        <v>#N/A</v>
      </c>
      <c r="R66" s="883">
        <v>2019</v>
      </c>
      <c r="S66" s="886">
        <v>64258</v>
      </c>
    </row>
    <row r="67" spans="1:22" s="396" customFormat="1" x14ac:dyDescent="0.25">
      <c r="A67" s="883" t="s">
        <v>1701</v>
      </c>
      <c r="B67" s="883" t="s">
        <v>1581</v>
      </c>
      <c r="C67" s="883" t="s">
        <v>1582</v>
      </c>
      <c r="D67" s="883" t="s">
        <v>1599</v>
      </c>
      <c r="E67" s="883" t="s">
        <v>1600</v>
      </c>
      <c r="F67" s="883" t="s">
        <v>1584</v>
      </c>
      <c r="G67" s="884">
        <v>-33820</v>
      </c>
      <c r="H67" s="888">
        <v>43634</v>
      </c>
      <c r="I67" s="883" t="s">
        <v>1703</v>
      </c>
      <c r="J67" s="885">
        <v>43634</v>
      </c>
      <c r="K67" s="885">
        <v>43634</v>
      </c>
      <c r="L67" s="883">
        <v>33820</v>
      </c>
      <c r="M67" s="886">
        <v>1.9</v>
      </c>
      <c r="N67" s="883" t="s">
        <v>1586</v>
      </c>
      <c r="O67" s="883" t="s">
        <v>1587</v>
      </c>
      <c r="P67" s="883">
        <v>6</v>
      </c>
      <c r="Q67" s="883" t="e">
        <v>#N/A</v>
      </c>
      <c r="R67" s="883">
        <v>2019</v>
      </c>
      <c r="S67" s="886">
        <v>-64258</v>
      </c>
    </row>
    <row r="68" spans="1:22" s="396" customFormat="1" x14ac:dyDescent="0.25">
      <c r="A68" s="883" t="s">
        <v>1704</v>
      </c>
      <c r="B68" s="883" t="s">
        <v>1581</v>
      </c>
      <c r="C68" s="883" t="s">
        <v>1582</v>
      </c>
      <c r="D68" s="883" t="s">
        <v>1705</v>
      </c>
      <c r="E68" s="883" t="s">
        <v>1706</v>
      </c>
      <c r="F68" s="883" t="s">
        <v>1584</v>
      </c>
      <c r="G68" s="884">
        <v>33820</v>
      </c>
      <c r="H68" s="888">
        <v>43634</v>
      </c>
      <c r="I68" s="883" t="s">
        <v>1707</v>
      </c>
      <c r="J68" s="885">
        <v>43634</v>
      </c>
      <c r="K68" s="885">
        <v>43634</v>
      </c>
      <c r="L68" s="883">
        <v>0</v>
      </c>
      <c r="M68" s="886">
        <v>1.9</v>
      </c>
      <c r="N68" s="883" t="s">
        <v>1586</v>
      </c>
      <c r="O68" s="883" t="s">
        <v>1587</v>
      </c>
      <c r="P68" s="883">
        <v>6</v>
      </c>
      <c r="Q68" s="883" t="e">
        <v>#N/A</v>
      </c>
      <c r="R68" s="883">
        <v>2019</v>
      </c>
      <c r="S68" s="886">
        <v>64258</v>
      </c>
    </row>
    <row r="69" spans="1:22" s="396" customFormat="1" x14ac:dyDescent="0.25">
      <c r="A69" s="883" t="s">
        <v>1708</v>
      </c>
      <c r="B69" s="883" t="s">
        <v>1581</v>
      </c>
      <c r="C69" s="883" t="s">
        <v>1582</v>
      </c>
      <c r="D69" s="883" t="s">
        <v>1599</v>
      </c>
      <c r="E69" s="883" t="s">
        <v>1600</v>
      </c>
      <c r="F69" s="883" t="s">
        <v>1584</v>
      </c>
      <c r="G69" s="884">
        <v>39620</v>
      </c>
      <c r="H69" s="888">
        <v>43637</v>
      </c>
      <c r="I69" s="883" t="s">
        <v>1709</v>
      </c>
      <c r="J69" s="885">
        <v>43637</v>
      </c>
      <c r="K69" s="885">
        <v>43637</v>
      </c>
      <c r="L69" s="883">
        <v>0</v>
      </c>
      <c r="M69" s="886">
        <v>1.9</v>
      </c>
      <c r="N69" s="883" t="s">
        <v>1586</v>
      </c>
      <c r="O69" s="883" t="s">
        <v>1587</v>
      </c>
      <c r="P69" s="883">
        <v>6</v>
      </c>
      <c r="Q69" s="883" t="e">
        <v>#N/A</v>
      </c>
      <c r="R69" s="883">
        <v>2019</v>
      </c>
      <c r="S69" s="886">
        <v>75278</v>
      </c>
    </row>
    <row r="70" spans="1:22" s="396" customFormat="1" x14ac:dyDescent="0.25">
      <c r="A70" s="883" t="s">
        <v>1708</v>
      </c>
      <c r="B70" s="883" t="s">
        <v>1581</v>
      </c>
      <c r="C70" s="883" t="s">
        <v>1582</v>
      </c>
      <c r="D70" s="883" t="s">
        <v>1599</v>
      </c>
      <c r="E70" s="883" t="s">
        <v>1600</v>
      </c>
      <c r="F70" s="883" t="s">
        <v>1584</v>
      </c>
      <c r="G70" s="884">
        <v>-39620</v>
      </c>
      <c r="H70" s="888">
        <v>43637</v>
      </c>
      <c r="I70" s="883" t="s">
        <v>1710</v>
      </c>
      <c r="J70" s="885">
        <v>43637</v>
      </c>
      <c r="K70" s="885">
        <v>43637</v>
      </c>
      <c r="L70" s="883">
        <v>39620</v>
      </c>
      <c r="M70" s="886">
        <v>1.9</v>
      </c>
      <c r="N70" s="883" t="s">
        <v>1586</v>
      </c>
      <c r="O70" s="883" t="s">
        <v>1587</v>
      </c>
      <c r="P70" s="883">
        <v>6</v>
      </c>
      <c r="Q70" s="883" t="e">
        <v>#N/A</v>
      </c>
      <c r="R70" s="883">
        <v>2019</v>
      </c>
      <c r="S70" s="886">
        <v>-75278</v>
      </c>
    </row>
    <row r="71" spans="1:22" s="396" customFormat="1" x14ac:dyDescent="0.25">
      <c r="A71" s="883" t="s">
        <v>1711</v>
      </c>
      <c r="B71" s="883" t="s">
        <v>1581</v>
      </c>
      <c r="C71" s="883" t="s">
        <v>1582</v>
      </c>
      <c r="D71" s="883" t="s">
        <v>1705</v>
      </c>
      <c r="E71" s="883" t="s">
        <v>1706</v>
      </c>
      <c r="F71" s="883" t="s">
        <v>1584</v>
      </c>
      <c r="G71" s="884">
        <v>39620</v>
      </c>
      <c r="H71" s="888">
        <v>43637</v>
      </c>
      <c r="I71" s="883" t="s">
        <v>1712</v>
      </c>
      <c r="J71" s="885">
        <v>43637</v>
      </c>
      <c r="K71" s="885">
        <v>43637</v>
      </c>
      <c r="L71" s="883">
        <v>0</v>
      </c>
      <c r="M71" s="886">
        <v>1.9</v>
      </c>
      <c r="N71" s="883" t="s">
        <v>1586</v>
      </c>
      <c r="O71" s="883" t="s">
        <v>1587</v>
      </c>
      <c r="P71" s="883">
        <v>6</v>
      </c>
      <c r="Q71" s="883" t="e">
        <v>#N/A</v>
      </c>
      <c r="R71" s="883">
        <v>2019</v>
      </c>
      <c r="S71" s="886">
        <v>75278</v>
      </c>
    </row>
    <row r="72" spans="1:22" s="396" customFormat="1" x14ac:dyDescent="0.25">
      <c r="A72" s="883" t="s">
        <v>1713</v>
      </c>
      <c r="B72" s="883" t="s">
        <v>1581</v>
      </c>
      <c r="C72" s="883" t="s">
        <v>1582</v>
      </c>
      <c r="D72" s="883" t="s">
        <v>1599</v>
      </c>
      <c r="E72" s="883" t="s">
        <v>1600</v>
      </c>
      <c r="F72" s="883" t="s">
        <v>1584</v>
      </c>
      <c r="G72" s="884">
        <v>23260</v>
      </c>
      <c r="H72" s="888">
        <v>43641</v>
      </c>
      <c r="I72" s="883" t="s">
        <v>1714</v>
      </c>
      <c r="J72" s="885">
        <v>43641</v>
      </c>
      <c r="K72" s="885">
        <v>43641</v>
      </c>
      <c r="L72" s="883">
        <v>0</v>
      </c>
      <c r="M72" s="886">
        <v>1.9</v>
      </c>
      <c r="N72" s="883" t="s">
        <v>1586</v>
      </c>
      <c r="O72" s="883" t="s">
        <v>1587</v>
      </c>
      <c r="P72" s="883">
        <v>6</v>
      </c>
      <c r="Q72" s="883" t="e">
        <v>#N/A</v>
      </c>
      <c r="R72" s="883">
        <v>2019</v>
      </c>
      <c r="S72" s="886">
        <v>44194</v>
      </c>
    </row>
    <row r="73" spans="1:22" s="396" customFormat="1" x14ac:dyDescent="0.25">
      <c r="A73" s="883" t="s">
        <v>1713</v>
      </c>
      <c r="B73" s="883" t="s">
        <v>1581</v>
      </c>
      <c r="C73" s="883" t="s">
        <v>1582</v>
      </c>
      <c r="D73" s="883" t="s">
        <v>1599</v>
      </c>
      <c r="E73" s="883" t="s">
        <v>1600</v>
      </c>
      <c r="F73" s="883" t="s">
        <v>1584</v>
      </c>
      <c r="G73" s="884">
        <v>-23260</v>
      </c>
      <c r="H73" s="888">
        <v>43641</v>
      </c>
      <c r="I73" s="883" t="s">
        <v>1715</v>
      </c>
      <c r="J73" s="885">
        <v>43641</v>
      </c>
      <c r="K73" s="885">
        <v>43641</v>
      </c>
      <c r="L73" s="883">
        <v>23260</v>
      </c>
      <c r="M73" s="886">
        <v>1.9</v>
      </c>
      <c r="N73" s="883" t="s">
        <v>1586</v>
      </c>
      <c r="O73" s="883" t="s">
        <v>1587</v>
      </c>
      <c r="P73" s="883">
        <v>6</v>
      </c>
      <c r="Q73" s="883" t="e">
        <v>#N/A</v>
      </c>
      <c r="R73" s="883">
        <v>2019</v>
      </c>
      <c r="S73" s="886">
        <v>-44194</v>
      </c>
    </row>
    <row r="74" spans="1:22" s="396" customFormat="1" x14ac:dyDescent="0.25">
      <c r="A74" s="883" t="s">
        <v>1716</v>
      </c>
      <c r="B74" s="883" t="s">
        <v>1581</v>
      </c>
      <c r="C74" s="883" t="s">
        <v>1582</v>
      </c>
      <c r="D74" s="883" t="s">
        <v>1705</v>
      </c>
      <c r="E74" s="883" t="s">
        <v>1706</v>
      </c>
      <c r="F74" s="883" t="s">
        <v>1584</v>
      </c>
      <c r="G74" s="884">
        <v>23260</v>
      </c>
      <c r="H74" s="888">
        <v>43641</v>
      </c>
      <c r="I74" s="883" t="s">
        <v>1717</v>
      </c>
      <c r="J74" s="885">
        <v>43641</v>
      </c>
      <c r="K74" s="885">
        <v>43641</v>
      </c>
      <c r="L74" s="883">
        <v>0</v>
      </c>
      <c r="M74" s="886">
        <v>1.9</v>
      </c>
      <c r="N74" s="883" t="s">
        <v>1586</v>
      </c>
      <c r="O74" s="883" t="s">
        <v>1587</v>
      </c>
      <c r="P74" s="883">
        <v>6</v>
      </c>
      <c r="Q74" s="883" t="e">
        <v>#N/A</v>
      </c>
      <c r="R74" s="883">
        <v>2019</v>
      </c>
      <c r="S74" s="886">
        <v>44194</v>
      </c>
    </row>
    <row r="75" spans="1:22" s="396" customFormat="1" x14ac:dyDescent="0.25">
      <c r="A75" s="883" t="s">
        <v>1718</v>
      </c>
      <c r="B75" s="883" t="s">
        <v>1581</v>
      </c>
      <c r="C75" s="883" t="s">
        <v>1582</v>
      </c>
      <c r="D75" s="883" t="s">
        <v>1719</v>
      </c>
      <c r="E75" s="883" t="s">
        <v>1600</v>
      </c>
      <c r="F75" s="883" t="s">
        <v>1584</v>
      </c>
      <c r="G75" s="884">
        <v>81880</v>
      </c>
      <c r="H75" s="888">
        <v>43642</v>
      </c>
      <c r="I75" s="883" t="s">
        <v>1720</v>
      </c>
      <c r="J75" s="885">
        <v>43642</v>
      </c>
      <c r="K75" s="885">
        <v>43642</v>
      </c>
      <c r="L75" s="883">
        <v>0</v>
      </c>
      <c r="M75" s="886">
        <v>1.9</v>
      </c>
      <c r="N75" s="883" t="s">
        <v>1586</v>
      </c>
      <c r="O75" s="883" t="s">
        <v>1587</v>
      </c>
      <c r="P75" s="883">
        <v>6</v>
      </c>
      <c r="Q75" s="883" t="e">
        <v>#N/A</v>
      </c>
      <c r="R75" s="883">
        <v>2019</v>
      </c>
      <c r="S75" s="886">
        <v>155572</v>
      </c>
    </row>
    <row r="76" spans="1:22" s="396" customFormat="1" x14ac:dyDescent="0.25">
      <c r="A76" s="883" t="s">
        <v>1721</v>
      </c>
      <c r="B76" s="883" t="s">
        <v>1581</v>
      </c>
      <c r="C76" s="883" t="s">
        <v>1582</v>
      </c>
      <c r="D76" s="883" t="s">
        <v>1583</v>
      </c>
      <c r="E76" s="883" t="s">
        <v>577</v>
      </c>
      <c r="F76" s="883" t="s">
        <v>1584</v>
      </c>
      <c r="G76" s="884">
        <v>10660</v>
      </c>
      <c r="H76" s="888">
        <v>43643</v>
      </c>
      <c r="I76" s="883" t="s">
        <v>1722</v>
      </c>
      <c r="J76" s="885">
        <v>43643</v>
      </c>
      <c r="K76" s="885">
        <v>43643</v>
      </c>
      <c r="L76" s="883">
        <v>0</v>
      </c>
      <c r="M76" s="886">
        <v>1.95</v>
      </c>
      <c r="N76" s="883" t="s">
        <v>1586</v>
      </c>
      <c r="O76" s="883" t="s">
        <v>1587</v>
      </c>
      <c r="P76" s="883">
        <v>6</v>
      </c>
      <c r="Q76" s="883" t="e">
        <v>#N/A</v>
      </c>
      <c r="R76" s="883">
        <v>2019</v>
      </c>
      <c r="S76" s="886">
        <v>20787</v>
      </c>
    </row>
    <row r="77" spans="1:22" s="396" customFormat="1" x14ac:dyDescent="0.25">
      <c r="A77" s="883" t="s">
        <v>1723</v>
      </c>
      <c r="B77" s="883" t="s">
        <v>1581</v>
      </c>
      <c r="C77" s="883" t="s">
        <v>1582</v>
      </c>
      <c r="D77" s="883" t="s">
        <v>1599</v>
      </c>
      <c r="E77" s="883" t="s">
        <v>1600</v>
      </c>
      <c r="F77" s="883" t="s">
        <v>1584</v>
      </c>
      <c r="G77" s="884">
        <v>31680</v>
      </c>
      <c r="H77" s="888">
        <v>43644</v>
      </c>
      <c r="I77" s="883" t="s">
        <v>1724</v>
      </c>
      <c r="J77" s="885">
        <v>43644</v>
      </c>
      <c r="K77" s="885">
        <v>43644</v>
      </c>
      <c r="L77" s="883">
        <v>0</v>
      </c>
      <c r="M77" s="886">
        <v>1.9</v>
      </c>
      <c r="N77" s="883" t="s">
        <v>1586</v>
      </c>
      <c r="O77" s="883" t="s">
        <v>1587</v>
      </c>
      <c r="P77" s="883">
        <v>6</v>
      </c>
      <c r="Q77" s="883" t="e">
        <v>#N/A</v>
      </c>
      <c r="R77" s="883">
        <v>2019</v>
      </c>
      <c r="S77" s="886">
        <v>60192</v>
      </c>
    </row>
    <row r="78" spans="1:22" s="396" customFormat="1" x14ac:dyDescent="0.25">
      <c r="A78" s="883" t="s">
        <v>1723</v>
      </c>
      <c r="B78" s="883" t="s">
        <v>1581</v>
      </c>
      <c r="C78" s="883" t="s">
        <v>1582</v>
      </c>
      <c r="D78" s="883" t="s">
        <v>1599</v>
      </c>
      <c r="E78" s="883" t="s">
        <v>1600</v>
      </c>
      <c r="F78" s="883" t="s">
        <v>1584</v>
      </c>
      <c r="G78" s="884">
        <v>-31680</v>
      </c>
      <c r="H78" s="888">
        <v>43644</v>
      </c>
      <c r="I78" s="883" t="s">
        <v>1725</v>
      </c>
      <c r="J78" s="885">
        <v>43644</v>
      </c>
      <c r="K78" s="885">
        <v>43644</v>
      </c>
      <c r="L78" s="883">
        <v>31680</v>
      </c>
      <c r="M78" s="886">
        <v>1.9</v>
      </c>
      <c r="N78" s="883" t="s">
        <v>1586</v>
      </c>
      <c r="O78" s="883" t="s">
        <v>1587</v>
      </c>
      <c r="P78" s="883">
        <v>6</v>
      </c>
      <c r="Q78" s="883" t="e">
        <v>#N/A</v>
      </c>
      <c r="R78" s="883">
        <v>2019</v>
      </c>
      <c r="S78" s="886">
        <v>-60192</v>
      </c>
    </row>
    <row r="79" spans="1:22" s="396" customFormat="1" x14ac:dyDescent="0.25">
      <c r="A79" s="883" t="s">
        <v>1726</v>
      </c>
      <c r="B79" s="883" t="s">
        <v>1581</v>
      </c>
      <c r="C79" s="883" t="s">
        <v>1582</v>
      </c>
      <c r="D79" s="883" t="s">
        <v>1705</v>
      </c>
      <c r="E79" s="883" t="s">
        <v>1706</v>
      </c>
      <c r="F79" s="883" t="s">
        <v>1584</v>
      </c>
      <c r="G79" s="884">
        <v>31680</v>
      </c>
      <c r="H79" s="888">
        <v>43644</v>
      </c>
      <c r="I79" s="883" t="s">
        <v>1727</v>
      </c>
      <c r="J79" s="885">
        <v>43644</v>
      </c>
      <c r="K79" s="885">
        <v>43644</v>
      </c>
      <c r="L79" s="883">
        <v>0</v>
      </c>
      <c r="M79" s="886">
        <v>1.9</v>
      </c>
      <c r="N79" s="883" t="s">
        <v>1586</v>
      </c>
      <c r="O79" s="883" t="s">
        <v>1587</v>
      </c>
      <c r="P79" s="883">
        <v>6</v>
      </c>
      <c r="Q79" s="883" t="e">
        <v>#N/A</v>
      </c>
      <c r="R79" s="883">
        <v>2019</v>
      </c>
      <c r="S79" s="886">
        <v>60192</v>
      </c>
    </row>
    <row r="80" spans="1:22" s="396" customFormat="1" x14ac:dyDescent="0.25">
      <c r="A80" s="889"/>
      <c r="B80" s="889"/>
      <c r="C80" s="889"/>
      <c r="D80" s="889"/>
      <c r="E80" s="889"/>
      <c r="F80" s="889"/>
      <c r="G80" s="890">
        <f>SUM(G66:G79)</f>
        <v>220920</v>
      </c>
      <c r="H80" s="891"/>
      <c r="I80" s="889"/>
      <c r="J80" s="892"/>
      <c r="K80" s="892"/>
      <c r="L80" s="889"/>
      <c r="M80" s="893"/>
      <c r="N80" s="889"/>
      <c r="O80" s="889"/>
      <c r="P80" s="889"/>
      <c r="Q80" s="889"/>
      <c r="R80" s="889"/>
      <c r="S80" s="893"/>
    </row>
    <row r="81" spans="1:24" s="396" customFormat="1" x14ac:dyDescent="0.25">
      <c r="A81" s="883" t="s">
        <v>1741</v>
      </c>
      <c r="B81" s="883" t="s">
        <v>1581</v>
      </c>
      <c r="C81" s="883" t="s">
        <v>1582</v>
      </c>
      <c r="D81" s="883" t="s">
        <v>1633</v>
      </c>
      <c r="E81" s="883" t="s">
        <v>824</v>
      </c>
      <c r="F81" s="883" t="s">
        <v>1584</v>
      </c>
      <c r="G81" s="884">
        <v>32360</v>
      </c>
      <c r="H81" s="888">
        <v>43676</v>
      </c>
      <c r="I81" s="883" t="s">
        <v>1742</v>
      </c>
      <c r="J81" s="885">
        <v>43676</v>
      </c>
      <c r="K81" s="885">
        <v>43676</v>
      </c>
      <c r="L81" s="883">
        <v>0</v>
      </c>
      <c r="M81" s="886">
        <v>1.9</v>
      </c>
      <c r="N81" s="883" t="s">
        <v>1586</v>
      </c>
      <c r="O81" s="883" t="s">
        <v>1587</v>
      </c>
      <c r="P81" s="883">
        <v>7</v>
      </c>
      <c r="Q81" s="883">
        <v>0</v>
      </c>
      <c r="R81" s="883">
        <v>2019</v>
      </c>
      <c r="S81" s="886">
        <v>61484</v>
      </c>
    </row>
    <row r="82" spans="1:24" s="396" customFormat="1" x14ac:dyDescent="0.25">
      <c r="A82" s="883" t="s">
        <v>1732</v>
      </c>
      <c r="B82" s="883" t="s">
        <v>1581</v>
      </c>
      <c r="C82" s="883" t="s">
        <v>1582</v>
      </c>
      <c r="D82" s="883" t="s">
        <v>1583</v>
      </c>
      <c r="E82" s="883" t="s">
        <v>577</v>
      </c>
      <c r="F82" s="883" t="s">
        <v>1584</v>
      </c>
      <c r="G82" s="884">
        <v>12980</v>
      </c>
      <c r="H82" s="888">
        <v>43656</v>
      </c>
      <c r="I82" s="883" t="s">
        <v>1733</v>
      </c>
      <c r="J82" s="885">
        <v>43656</v>
      </c>
      <c r="K82" s="885">
        <v>43656</v>
      </c>
      <c r="L82" s="883">
        <v>0</v>
      </c>
      <c r="M82" s="886">
        <v>1.95</v>
      </c>
      <c r="N82" s="883" t="s">
        <v>1586</v>
      </c>
      <c r="O82" s="883" t="s">
        <v>1587</v>
      </c>
      <c r="P82" s="883">
        <v>7</v>
      </c>
      <c r="Q82" s="883" t="e">
        <v>#N/A</v>
      </c>
      <c r="R82" s="883">
        <v>2019</v>
      </c>
      <c r="S82" s="886">
        <v>25311</v>
      </c>
    </row>
    <row r="83" spans="1:24" s="396" customFormat="1" x14ac:dyDescent="0.25">
      <c r="A83" s="883" t="s">
        <v>1721</v>
      </c>
      <c r="B83" s="883" t="s">
        <v>1581</v>
      </c>
      <c r="C83" s="883" t="s">
        <v>1582</v>
      </c>
      <c r="D83" s="883" t="s">
        <v>1583</v>
      </c>
      <c r="E83" s="883" t="s">
        <v>577</v>
      </c>
      <c r="F83" s="883" t="s">
        <v>1584</v>
      </c>
      <c r="G83" s="884">
        <v>-10660</v>
      </c>
      <c r="H83" s="888">
        <v>43672</v>
      </c>
      <c r="I83" s="883" t="s">
        <v>1740</v>
      </c>
      <c r="J83" s="885">
        <v>43643</v>
      </c>
      <c r="K83" s="885">
        <v>43643</v>
      </c>
      <c r="L83" s="883">
        <v>10660</v>
      </c>
      <c r="M83" s="886">
        <v>1.95</v>
      </c>
      <c r="N83" s="883" t="s">
        <v>1586</v>
      </c>
      <c r="O83" s="883" t="s">
        <v>1587</v>
      </c>
      <c r="P83" s="883">
        <v>7</v>
      </c>
      <c r="Q83" s="883" t="e">
        <v>#N/A</v>
      </c>
      <c r="R83" s="883">
        <v>2019</v>
      </c>
      <c r="S83" s="886">
        <v>-20787</v>
      </c>
      <c r="W83" s="396">
        <v>-10660</v>
      </c>
      <c r="X83" s="396" t="s">
        <v>1870</v>
      </c>
    </row>
    <row r="84" spans="1:24" s="396" customFormat="1" x14ac:dyDescent="0.25">
      <c r="A84" s="883" t="s">
        <v>1728</v>
      </c>
      <c r="B84" s="883" t="s">
        <v>1581</v>
      </c>
      <c r="C84" s="883" t="s">
        <v>1582</v>
      </c>
      <c r="D84" s="883" t="s">
        <v>1705</v>
      </c>
      <c r="E84" s="883" t="s">
        <v>1706</v>
      </c>
      <c r="F84" s="883" t="s">
        <v>1584</v>
      </c>
      <c r="G84" s="884">
        <v>25140</v>
      </c>
      <c r="H84" s="888">
        <v>43649</v>
      </c>
      <c r="I84" s="883" t="s">
        <v>1729</v>
      </c>
      <c r="J84" s="885">
        <v>43649</v>
      </c>
      <c r="K84" s="885">
        <v>43649</v>
      </c>
      <c r="L84" s="883">
        <v>0</v>
      </c>
      <c r="M84" s="886">
        <v>1.9</v>
      </c>
      <c r="N84" s="883" t="s">
        <v>1586</v>
      </c>
      <c r="O84" s="883" t="s">
        <v>1587</v>
      </c>
      <c r="P84" s="883">
        <v>7</v>
      </c>
      <c r="Q84" s="883" t="e">
        <v>#N/A</v>
      </c>
      <c r="R84" s="883">
        <v>2019</v>
      </c>
      <c r="S84" s="886">
        <v>47766</v>
      </c>
    </row>
    <row r="85" spans="1:24" s="396" customFormat="1" x14ac:dyDescent="0.25">
      <c r="A85" s="883" t="s">
        <v>1730</v>
      </c>
      <c r="B85" s="883" t="s">
        <v>1581</v>
      </c>
      <c r="C85" s="883" t="s">
        <v>1582</v>
      </c>
      <c r="D85" s="883" t="s">
        <v>1705</v>
      </c>
      <c r="E85" s="883" t="s">
        <v>1706</v>
      </c>
      <c r="F85" s="883" t="s">
        <v>1584</v>
      </c>
      <c r="G85" s="884">
        <v>30540</v>
      </c>
      <c r="H85" s="888">
        <v>43652</v>
      </c>
      <c r="I85" s="883" t="s">
        <v>1731</v>
      </c>
      <c r="J85" s="885">
        <v>43652</v>
      </c>
      <c r="K85" s="885">
        <v>43652</v>
      </c>
      <c r="L85" s="883">
        <v>0</v>
      </c>
      <c r="M85" s="886">
        <v>1.9</v>
      </c>
      <c r="N85" s="883" t="s">
        <v>1586</v>
      </c>
      <c r="O85" s="883" t="s">
        <v>1587</v>
      </c>
      <c r="P85" s="883">
        <v>7</v>
      </c>
      <c r="Q85" s="883" t="e">
        <v>#N/A</v>
      </c>
      <c r="R85" s="883">
        <v>2019</v>
      </c>
      <c r="S85" s="886">
        <v>58026</v>
      </c>
    </row>
    <row r="86" spans="1:24" s="396" customFormat="1" x14ac:dyDescent="0.25">
      <c r="A86" s="883" t="s">
        <v>1736</v>
      </c>
      <c r="B86" s="883" t="s">
        <v>1581</v>
      </c>
      <c r="C86" s="883" t="s">
        <v>1582</v>
      </c>
      <c r="D86" s="883" t="s">
        <v>1705</v>
      </c>
      <c r="E86" s="883" t="s">
        <v>1706</v>
      </c>
      <c r="F86" s="883" t="s">
        <v>1584</v>
      </c>
      <c r="G86" s="884">
        <v>32220</v>
      </c>
      <c r="H86" s="888">
        <v>43661</v>
      </c>
      <c r="I86" s="883" t="s">
        <v>1737</v>
      </c>
      <c r="J86" s="885">
        <v>43661</v>
      </c>
      <c r="K86" s="885">
        <v>43661</v>
      </c>
      <c r="L86" s="883">
        <v>0</v>
      </c>
      <c r="M86" s="886">
        <v>1.9</v>
      </c>
      <c r="N86" s="883" t="s">
        <v>1586</v>
      </c>
      <c r="O86" s="883" t="s">
        <v>1587</v>
      </c>
      <c r="P86" s="883">
        <v>7</v>
      </c>
      <c r="Q86" s="883" t="e">
        <v>#N/A</v>
      </c>
      <c r="R86" s="883">
        <v>2019</v>
      </c>
      <c r="S86" s="886">
        <v>61218</v>
      </c>
    </row>
    <row r="87" spans="1:24" s="396" customFormat="1" x14ac:dyDescent="0.25">
      <c r="A87" s="883" t="s">
        <v>1738</v>
      </c>
      <c r="B87" s="883" t="s">
        <v>1581</v>
      </c>
      <c r="C87" s="883" t="s">
        <v>1582</v>
      </c>
      <c r="D87" s="883" t="s">
        <v>1705</v>
      </c>
      <c r="E87" s="883" t="s">
        <v>1706</v>
      </c>
      <c r="F87" s="883" t="s">
        <v>1584</v>
      </c>
      <c r="G87" s="884">
        <v>34560</v>
      </c>
      <c r="H87" s="888">
        <v>43668</v>
      </c>
      <c r="I87" s="883" t="s">
        <v>1739</v>
      </c>
      <c r="J87" s="885">
        <v>43656</v>
      </c>
      <c r="K87" s="885">
        <v>43656</v>
      </c>
      <c r="L87" s="883">
        <v>0</v>
      </c>
      <c r="M87" s="886">
        <v>1.9</v>
      </c>
      <c r="N87" s="883" t="s">
        <v>1586</v>
      </c>
      <c r="O87" s="883" t="s">
        <v>1587</v>
      </c>
      <c r="P87" s="883">
        <v>7</v>
      </c>
      <c r="Q87" s="883" t="e">
        <v>#N/A</v>
      </c>
      <c r="R87" s="883">
        <v>2019</v>
      </c>
      <c r="S87" s="886">
        <v>65664</v>
      </c>
    </row>
    <row r="88" spans="1:24" s="396" customFormat="1" x14ac:dyDescent="0.25">
      <c r="A88" s="883" t="s">
        <v>1743</v>
      </c>
      <c r="B88" s="883" t="s">
        <v>1581</v>
      </c>
      <c r="C88" s="883" t="s">
        <v>1582</v>
      </c>
      <c r="D88" s="883" t="s">
        <v>1705</v>
      </c>
      <c r="E88" s="883" t="s">
        <v>1706</v>
      </c>
      <c r="F88" s="883" t="s">
        <v>1584</v>
      </c>
      <c r="G88" s="884">
        <v>29540</v>
      </c>
      <c r="H88" s="888">
        <v>43676</v>
      </c>
      <c r="I88" s="883" t="s">
        <v>1744</v>
      </c>
      <c r="J88" s="885">
        <v>43669</v>
      </c>
      <c r="K88" s="885">
        <v>43669</v>
      </c>
      <c r="L88" s="883">
        <v>0</v>
      </c>
      <c r="M88" s="886">
        <v>1.9</v>
      </c>
      <c r="N88" s="883" t="s">
        <v>1586</v>
      </c>
      <c r="O88" s="883" t="s">
        <v>1587</v>
      </c>
      <c r="P88" s="883">
        <v>7</v>
      </c>
      <c r="Q88" s="883" t="e">
        <v>#N/A</v>
      </c>
      <c r="R88" s="883">
        <v>2019</v>
      </c>
      <c r="S88" s="886">
        <v>56126</v>
      </c>
    </row>
    <row r="89" spans="1:24" s="396" customFormat="1" x14ac:dyDescent="0.25">
      <c r="A89" s="883" t="s">
        <v>1745</v>
      </c>
      <c r="B89" s="883" t="s">
        <v>1581</v>
      </c>
      <c r="C89" s="883" t="s">
        <v>1582</v>
      </c>
      <c r="D89" s="883" t="s">
        <v>1705</v>
      </c>
      <c r="E89" s="883" t="s">
        <v>1706</v>
      </c>
      <c r="F89" s="883" t="s">
        <v>1584</v>
      </c>
      <c r="G89" s="884">
        <v>27880</v>
      </c>
      <c r="H89" s="888">
        <v>43676</v>
      </c>
      <c r="I89" s="883" t="s">
        <v>1746</v>
      </c>
      <c r="J89" s="885">
        <v>43672</v>
      </c>
      <c r="K89" s="885">
        <v>43672</v>
      </c>
      <c r="L89" s="883">
        <v>0</v>
      </c>
      <c r="M89" s="886">
        <v>1.9</v>
      </c>
      <c r="N89" s="883" t="s">
        <v>1586</v>
      </c>
      <c r="O89" s="883" t="s">
        <v>1587</v>
      </c>
      <c r="P89" s="883">
        <v>7</v>
      </c>
      <c r="Q89" s="883" t="e">
        <v>#N/A</v>
      </c>
      <c r="R89" s="883">
        <v>2019</v>
      </c>
      <c r="S89" s="886">
        <v>52972</v>
      </c>
    </row>
    <row r="90" spans="1:24" s="396" customFormat="1" x14ac:dyDescent="0.25">
      <c r="A90" s="883" t="s">
        <v>1734</v>
      </c>
      <c r="B90" s="883" t="s">
        <v>1581</v>
      </c>
      <c r="C90" s="883" t="s">
        <v>1582</v>
      </c>
      <c r="D90" s="883" t="s">
        <v>1599</v>
      </c>
      <c r="E90" s="883" t="s">
        <v>1600</v>
      </c>
      <c r="F90" s="883" t="s">
        <v>1584</v>
      </c>
      <c r="G90" s="884">
        <v>39040</v>
      </c>
      <c r="H90" s="888">
        <v>43659</v>
      </c>
      <c r="I90" s="883" t="s">
        <v>1735</v>
      </c>
      <c r="J90" s="885">
        <v>43659</v>
      </c>
      <c r="K90" s="885">
        <v>43659</v>
      </c>
      <c r="L90" s="883">
        <v>0</v>
      </c>
      <c r="M90" s="886">
        <v>2</v>
      </c>
      <c r="N90" s="883" t="s">
        <v>1586</v>
      </c>
      <c r="O90" s="883" t="s">
        <v>1587</v>
      </c>
      <c r="P90" s="883">
        <v>7</v>
      </c>
      <c r="Q90" s="883" t="e">
        <v>#N/A</v>
      </c>
      <c r="R90" s="883">
        <v>2019</v>
      </c>
      <c r="S90" s="886">
        <v>78080</v>
      </c>
    </row>
    <row r="91" spans="1:24" s="396" customFormat="1" x14ac:dyDescent="0.25">
      <c r="A91" s="889"/>
      <c r="B91" s="889"/>
      <c r="C91" s="889"/>
      <c r="D91" s="889"/>
      <c r="E91" s="889"/>
      <c r="F91" s="889"/>
      <c r="G91" s="890">
        <f>SUM(G81:G90)</f>
        <v>253600</v>
      </c>
      <c r="H91" s="891"/>
      <c r="I91" s="889"/>
      <c r="J91" s="892"/>
      <c r="K91" s="892"/>
      <c r="L91" s="889"/>
      <c r="M91" s="893"/>
      <c r="N91" s="889"/>
      <c r="O91" s="889"/>
      <c r="P91" s="889"/>
      <c r="Q91" s="889"/>
      <c r="R91" s="889"/>
      <c r="S91" s="893"/>
      <c r="V91" s="897">
        <f>G91-G83</f>
        <v>264260</v>
      </c>
    </row>
    <row r="92" spans="1:24" s="396" customFormat="1" x14ac:dyDescent="0.25">
      <c r="A92" s="883" t="s">
        <v>1747</v>
      </c>
      <c r="B92" s="883" t="s">
        <v>1581</v>
      </c>
      <c r="C92" s="883" t="s">
        <v>1582</v>
      </c>
      <c r="D92" s="883" t="s">
        <v>1633</v>
      </c>
      <c r="E92" s="883" t="s">
        <v>824</v>
      </c>
      <c r="F92" s="883" t="s">
        <v>1584</v>
      </c>
      <c r="G92" s="884">
        <v>31860</v>
      </c>
      <c r="H92" s="888">
        <v>43679</v>
      </c>
      <c r="I92" s="883" t="s">
        <v>1748</v>
      </c>
      <c r="J92" s="885">
        <v>43679</v>
      </c>
      <c r="K92" s="885">
        <v>43679</v>
      </c>
      <c r="L92" s="883">
        <v>0</v>
      </c>
      <c r="M92" s="886">
        <v>2.1</v>
      </c>
      <c r="N92" s="883" t="s">
        <v>1586</v>
      </c>
      <c r="O92" s="883" t="s">
        <v>1587</v>
      </c>
      <c r="P92" s="883">
        <v>8</v>
      </c>
      <c r="Q92" s="883">
        <v>0</v>
      </c>
      <c r="R92" s="883">
        <v>2019</v>
      </c>
      <c r="S92" s="886">
        <v>66906</v>
      </c>
    </row>
    <row r="93" spans="1:24" s="396" customFormat="1" x14ac:dyDescent="0.25">
      <c r="A93" s="883" t="s">
        <v>1749</v>
      </c>
      <c r="B93" s="883" t="s">
        <v>1581</v>
      </c>
      <c r="C93" s="883" t="s">
        <v>1582</v>
      </c>
      <c r="D93" s="883" t="s">
        <v>1633</v>
      </c>
      <c r="E93" s="883" t="s">
        <v>824</v>
      </c>
      <c r="F93" s="883" t="s">
        <v>1584</v>
      </c>
      <c r="G93" s="884">
        <v>28240</v>
      </c>
      <c r="H93" s="888">
        <v>43683</v>
      </c>
      <c r="I93" s="883" t="s">
        <v>1750</v>
      </c>
      <c r="J93" s="885">
        <v>43683</v>
      </c>
      <c r="K93" s="885">
        <v>43696</v>
      </c>
      <c r="L93" s="883">
        <v>0</v>
      </c>
      <c r="M93" s="886">
        <v>2.1</v>
      </c>
      <c r="N93" s="883" t="s">
        <v>1586</v>
      </c>
      <c r="O93" s="883" t="s">
        <v>1587</v>
      </c>
      <c r="P93" s="883">
        <v>8</v>
      </c>
      <c r="Q93" s="883">
        <v>0</v>
      </c>
      <c r="R93" s="883">
        <v>2019</v>
      </c>
      <c r="S93" s="886">
        <v>59304</v>
      </c>
    </row>
    <row r="94" spans="1:24" s="396" customFormat="1" x14ac:dyDescent="0.25">
      <c r="A94" s="883" t="s">
        <v>1749</v>
      </c>
      <c r="B94" s="883" t="s">
        <v>1581</v>
      </c>
      <c r="C94" s="883" t="s">
        <v>1582</v>
      </c>
      <c r="D94" s="883" t="s">
        <v>1633</v>
      </c>
      <c r="E94" s="883" t="s">
        <v>824</v>
      </c>
      <c r="F94" s="883" t="s">
        <v>1584</v>
      </c>
      <c r="G94" s="884">
        <v>-28240</v>
      </c>
      <c r="H94" s="888">
        <v>43683</v>
      </c>
      <c r="I94" s="883" t="s">
        <v>1751</v>
      </c>
      <c r="J94" s="885">
        <v>43683</v>
      </c>
      <c r="K94" s="885">
        <v>43696</v>
      </c>
      <c r="L94" s="883">
        <v>28240</v>
      </c>
      <c r="M94" s="886">
        <v>2.1</v>
      </c>
      <c r="N94" s="883" t="s">
        <v>1586</v>
      </c>
      <c r="O94" s="883" t="s">
        <v>1587</v>
      </c>
      <c r="P94" s="883">
        <v>8</v>
      </c>
      <c r="Q94" s="883">
        <v>0</v>
      </c>
      <c r="R94" s="883">
        <v>2019</v>
      </c>
      <c r="S94" s="886">
        <v>-59304</v>
      </c>
    </row>
    <row r="95" spans="1:24" s="396" customFormat="1" x14ac:dyDescent="0.25">
      <c r="A95" s="883" t="s">
        <v>1752</v>
      </c>
      <c r="B95" s="883" t="s">
        <v>1581</v>
      </c>
      <c r="C95" s="883" t="s">
        <v>1582</v>
      </c>
      <c r="D95" s="883" t="s">
        <v>1599</v>
      </c>
      <c r="E95" s="883" t="s">
        <v>1600</v>
      </c>
      <c r="F95" s="883" t="s">
        <v>1584</v>
      </c>
      <c r="G95" s="884">
        <v>40980</v>
      </c>
      <c r="H95" s="888">
        <v>43686</v>
      </c>
      <c r="I95" s="883" t="s">
        <v>1753</v>
      </c>
      <c r="J95" s="885">
        <v>43686</v>
      </c>
      <c r="K95" s="885">
        <v>43686</v>
      </c>
      <c r="L95" s="883">
        <v>0</v>
      </c>
      <c r="M95" s="886">
        <v>2.1</v>
      </c>
      <c r="N95" s="883" t="s">
        <v>1586</v>
      </c>
      <c r="O95" s="883" t="s">
        <v>1587</v>
      </c>
      <c r="P95" s="883">
        <v>8</v>
      </c>
      <c r="Q95" s="883" t="e">
        <v>#N/A</v>
      </c>
      <c r="R95" s="883">
        <v>2019</v>
      </c>
      <c r="S95" s="886">
        <v>86058</v>
      </c>
    </row>
    <row r="96" spans="1:24" s="396" customFormat="1" x14ac:dyDescent="0.25">
      <c r="A96" s="883" t="s">
        <v>1754</v>
      </c>
      <c r="B96" s="883" t="s">
        <v>1581</v>
      </c>
      <c r="C96" s="883" t="s">
        <v>1582</v>
      </c>
      <c r="D96" s="883" t="s">
        <v>1624</v>
      </c>
      <c r="E96" s="883" t="s">
        <v>1625</v>
      </c>
      <c r="F96" s="883" t="s">
        <v>1584</v>
      </c>
      <c r="G96" s="884">
        <v>30800</v>
      </c>
      <c r="H96" s="888">
        <v>43686</v>
      </c>
      <c r="I96" s="883" t="s">
        <v>1755</v>
      </c>
      <c r="J96" s="885">
        <v>43686</v>
      </c>
      <c r="K96" s="885">
        <v>43686</v>
      </c>
      <c r="L96" s="883">
        <v>0</v>
      </c>
      <c r="M96" s="886">
        <v>2.1</v>
      </c>
      <c r="N96" s="883" t="s">
        <v>1586</v>
      </c>
      <c r="O96" s="883" t="s">
        <v>1587</v>
      </c>
      <c r="P96" s="883">
        <v>8</v>
      </c>
      <c r="Q96" s="883" t="e">
        <v>#N/A</v>
      </c>
      <c r="R96" s="883">
        <v>2019</v>
      </c>
      <c r="S96" s="886">
        <v>64680</v>
      </c>
    </row>
    <row r="97" spans="1:24" s="396" customFormat="1" x14ac:dyDescent="0.25">
      <c r="A97" s="883" t="s">
        <v>1756</v>
      </c>
      <c r="B97" s="883" t="s">
        <v>1581</v>
      </c>
      <c r="C97" s="883" t="s">
        <v>1582</v>
      </c>
      <c r="D97" s="883" t="s">
        <v>1583</v>
      </c>
      <c r="E97" s="883" t="s">
        <v>577</v>
      </c>
      <c r="F97" s="883" t="s">
        <v>1584</v>
      </c>
      <c r="G97" s="884">
        <v>8540</v>
      </c>
      <c r="H97" s="888">
        <v>43693</v>
      </c>
      <c r="I97" s="883" t="s">
        <v>1757</v>
      </c>
      <c r="J97" s="885">
        <v>43693</v>
      </c>
      <c r="K97" s="885">
        <v>43693</v>
      </c>
      <c r="L97" s="883">
        <v>0</v>
      </c>
      <c r="M97" s="886">
        <v>2.1</v>
      </c>
      <c r="N97" s="883" t="s">
        <v>1586</v>
      </c>
      <c r="O97" s="883" t="s">
        <v>1587</v>
      </c>
      <c r="P97" s="883">
        <v>8</v>
      </c>
      <c r="Q97" s="883" t="e">
        <v>#N/A</v>
      </c>
      <c r="R97" s="883">
        <v>2019</v>
      </c>
      <c r="S97" s="886">
        <v>17934</v>
      </c>
    </row>
    <row r="98" spans="1:24" s="396" customFormat="1" x14ac:dyDescent="0.25">
      <c r="A98" s="883" t="s">
        <v>1758</v>
      </c>
      <c r="B98" s="883" t="s">
        <v>1654</v>
      </c>
      <c r="C98" s="883" t="s">
        <v>1582</v>
      </c>
      <c r="D98" s="883" t="s">
        <v>1759</v>
      </c>
      <c r="E98" s="883" t="s">
        <v>577</v>
      </c>
      <c r="F98" s="883" t="s">
        <v>1584</v>
      </c>
      <c r="G98" s="884">
        <v>500</v>
      </c>
      <c r="H98" s="888">
        <v>43693</v>
      </c>
      <c r="I98" s="883" t="s">
        <v>1760</v>
      </c>
      <c r="J98" s="885">
        <v>43693</v>
      </c>
      <c r="K98" s="885">
        <v>43693</v>
      </c>
      <c r="L98" s="883">
        <v>0</v>
      </c>
      <c r="M98" s="886">
        <v>2.1</v>
      </c>
      <c r="N98" s="883" t="s">
        <v>1586</v>
      </c>
      <c r="O98" s="883" t="s">
        <v>1587</v>
      </c>
      <c r="P98" s="883">
        <v>8</v>
      </c>
      <c r="Q98" s="883" t="e">
        <v>#N/A</v>
      </c>
      <c r="R98" s="883">
        <v>2019</v>
      </c>
      <c r="S98" s="886">
        <v>1050</v>
      </c>
    </row>
    <row r="99" spans="1:24" s="396" customFormat="1" x14ac:dyDescent="0.25">
      <c r="A99" s="889"/>
      <c r="B99" s="889"/>
      <c r="C99" s="889"/>
      <c r="D99" s="889"/>
      <c r="E99" s="889"/>
      <c r="F99" s="889"/>
      <c r="G99" s="890">
        <f>SUM(G92:G98)</f>
        <v>112680</v>
      </c>
      <c r="H99" s="891"/>
      <c r="I99" s="889"/>
      <c r="J99" s="892"/>
      <c r="K99" s="892"/>
      <c r="L99" s="889"/>
      <c r="M99" s="893"/>
      <c r="N99" s="889"/>
      <c r="O99" s="889"/>
      <c r="P99" s="889"/>
      <c r="Q99" s="889"/>
      <c r="R99" s="889"/>
      <c r="S99" s="893"/>
    </row>
    <row r="100" spans="1:24" s="396" customFormat="1" x14ac:dyDescent="0.25">
      <c r="A100" s="883" t="s">
        <v>1761</v>
      </c>
      <c r="B100" s="883" t="s">
        <v>1581</v>
      </c>
      <c r="C100" s="883" t="s">
        <v>1582</v>
      </c>
      <c r="D100" s="883" t="s">
        <v>1633</v>
      </c>
      <c r="E100" s="883" t="s">
        <v>824</v>
      </c>
      <c r="F100" s="883" t="s">
        <v>1584</v>
      </c>
      <c r="G100" s="884">
        <v>27740</v>
      </c>
      <c r="H100" s="888">
        <v>43711</v>
      </c>
      <c r="I100" s="883" t="s">
        <v>1762</v>
      </c>
      <c r="J100" s="885">
        <v>43711</v>
      </c>
      <c r="K100" s="885">
        <v>43711</v>
      </c>
      <c r="L100" s="883">
        <v>0</v>
      </c>
      <c r="M100" s="886">
        <v>2.1</v>
      </c>
      <c r="N100" s="883" t="s">
        <v>1586</v>
      </c>
      <c r="O100" s="883" t="s">
        <v>1587</v>
      </c>
      <c r="P100" s="883">
        <v>9</v>
      </c>
      <c r="Q100" s="883">
        <v>0</v>
      </c>
      <c r="R100" s="883">
        <v>2019</v>
      </c>
      <c r="S100" s="886">
        <v>58254</v>
      </c>
    </row>
    <row r="101" spans="1:24" s="396" customFormat="1" x14ac:dyDescent="0.25">
      <c r="A101" s="883" t="s">
        <v>1749</v>
      </c>
      <c r="B101" s="883" t="s">
        <v>1581</v>
      </c>
      <c r="C101" s="883" t="s">
        <v>1582</v>
      </c>
      <c r="D101" s="883" t="s">
        <v>1633</v>
      </c>
      <c r="E101" s="883" t="s">
        <v>824</v>
      </c>
      <c r="F101" s="883" t="s">
        <v>1584</v>
      </c>
      <c r="G101" s="884">
        <v>-28240</v>
      </c>
      <c r="H101" s="888">
        <v>43719</v>
      </c>
      <c r="I101" s="883" t="s">
        <v>1771</v>
      </c>
      <c r="J101" s="885">
        <v>43683</v>
      </c>
      <c r="K101" s="885">
        <v>43696</v>
      </c>
      <c r="L101" s="883">
        <v>56480</v>
      </c>
      <c r="M101" s="886">
        <v>2.1</v>
      </c>
      <c r="N101" s="883" t="s">
        <v>1586</v>
      </c>
      <c r="O101" s="883" t="s">
        <v>1587</v>
      </c>
      <c r="P101" s="883">
        <v>9</v>
      </c>
      <c r="Q101" s="883">
        <v>0</v>
      </c>
      <c r="R101" s="883">
        <v>2019</v>
      </c>
      <c r="S101" s="886">
        <v>-59304</v>
      </c>
      <c r="V101" s="897">
        <f>SUM(G100:G103)</f>
        <v>60660</v>
      </c>
      <c r="W101" s="897">
        <f>V101-88900</f>
        <v>-28240</v>
      </c>
      <c r="X101" s="396" t="s">
        <v>1871</v>
      </c>
    </row>
    <row r="102" spans="1:24" s="396" customFormat="1" x14ac:dyDescent="0.25">
      <c r="A102" s="883" t="s">
        <v>1779</v>
      </c>
      <c r="B102" s="883" t="s">
        <v>1581</v>
      </c>
      <c r="C102" s="883" t="s">
        <v>1582</v>
      </c>
      <c r="D102" s="883" t="s">
        <v>1633</v>
      </c>
      <c r="E102" s="883" t="s">
        <v>824</v>
      </c>
      <c r="F102" s="883" t="s">
        <v>1584</v>
      </c>
      <c r="G102" s="884">
        <v>31220</v>
      </c>
      <c r="H102" s="888">
        <v>43733</v>
      </c>
      <c r="I102" s="883" t="s">
        <v>1780</v>
      </c>
      <c r="J102" s="885">
        <v>43733</v>
      </c>
      <c r="K102" s="885">
        <v>43733</v>
      </c>
      <c r="L102" s="883">
        <v>0</v>
      </c>
      <c r="M102" s="886">
        <v>2.1</v>
      </c>
      <c r="N102" s="883" t="s">
        <v>1586</v>
      </c>
      <c r="O102" s="883" t="s">
        <v>1587</v>
      </c>
      <c r="P102" s="883">
        <v>9</v>
      </c>
      <c r="Q102" s="883">
        <v>0</v>
      </c>
      <c r="R102" s="883">
        <v>2019</v>
      </c>
      <c r="S102" s="886">
        <v>65562</v>
      </c>
    </row>
    <row r="103" spans="1:24" s="396" customFormat="1" x14ac:dyDescent="0.25">
      <c r="A103" s="883" t="s">
        <v>1781</v>
      </c>
      <c r="B103" s="883" t="s">
        <v>1654</v>
      </c>
      <c r="C103" s="883" t="s">
        <v>1582</v>
      </c>
      <c r="D103" s="883" t="s">
        <v>1782</v>
      </c>
      <c r="E103" s="883" t="s">
        <v>824</v>
      </c>
      <c r="F103" s="883" t="s">
        <v>1584</v>
      </c>
      <c r="G103" s="884">
        <v>29940</v>
      </c>
      <c r="H103" s="888">
        <v>43734</v>
      </c>
      <c r="I103" s="883" t="s">
        <v>1783</v>
      </c>
      <c r="J103" s="885">
        <v>43734</v>
      </c>
      <c r="K103" s="885">
        <v>43734</v>
      </c>
      <c r="L103" s="883">
        <v>0</v>
      </c>
      <c r="M103" s="886">
        <v>2.1</v>
      </c>
      <c r="N103" s="883" t="s">
        <v>1586</v>
      </c>
      <c r="O103" s="883" t="s">
        <v>1587</v>
      </c>
      <c r="P103" s="883">
        <v>9</v>
      </c>
      <c r="Q103" s="883">
        <v>0</v>
      </c>
      <c r="R103" s="883">
        <v>2019</v>
      </c>
      <c r="S103" s="886">
        <v>62874</v>
      </c>
    </row>
    <row r="104" spans="1:24" s="396" customFormat="1" x14ac:dyDescent="0.25">
      <c r="A104" s="883" t="s">
        <v>1767</v>
      </c>
      <c r="B104" s="883" t="s">
        <v>1581</v>
      </c>
      <c r="C104" s="883" t="s">
        <v>1582</v>
      </c>
      <c r="D104" s="883" t="s">
        <v>1583</v>
      </c>
      <c r="E104" s="883" t="s">
        <v>577</v>
      </c>
      <c r="F104" s="883" t="s">
        <v>1584</v>
      </c>
      <c r="G104" s="884">
        <v>15600</v>
      </c>
      <c r="H104" s="888">
        <v>43717</v>
      </c>
      <c r="I104" s="883" t="s">
        <v>1768</v>
      </c>
      <c r="J104" s="885">
        <v>43717</v>
      </c>
      <c r="K104" s="885">
        <v>43717</v>
      </c>
      <c r="L104" s="883">
        <v>0</v>
      </c>
      <c r="M104" s="886">
        <v>2.1</v>
      </c>
      <c r="N104" s="883" t="s">
        <v>1586</v>
      </c>
      <c r="O104" s="883" t="s">
        <v>1587</v>
      </c>
      <c r="P104" s="883">
        <v>9</v>
      </c>
      <c r="Q104" s="883" t="e">
        <v>#N/A</v>
      </c>
      <c r="R104" s="883">
        <v>2019</v>
      </c>
      <c r="S104" s="886">
        <v>32760</v>
      </c>
    </row>
    <row r="105" spans="1:24" s="396" customFormat="1" x14ac:dyDescent="0.25">
      <c r="A105" s="883" t="s">
        <v>1774</v>
      </c>
      <c r="B105" s="883" t="s">
        <v>1581</v>
      </c>
      <c r="C105" s="883" t="s">
        <v>1582</v>
      </c>
      <c r="D105" s="883" t="s">
        <v>1583</v>
      </c>
      <c r="E105" s="883" t="s">
        <v>577</v>
      </c>
      <c r="F105" s="883" t="s">
        <v>1584</v>
      </c>
      <c r="G105" s="884">
        <v>19820</v>
      </c>
      <c r="H105" s="888">
        <v>43724</v>
      </c>
      <c r="I105" s="883" t="s">
        <v>1775</v>
      </c>
      <c r="J105" s="885">
        <v>43724</v>
      </c>
      <c r="K105" s="885">
        <v>43724</v>
      </c>
      <c r="L105" s="883">
        <v>0</v>
      </c>
      <c r="M105" s="886">
        <v>2.1</v>
      </c>
      <c r="N105" s="883" t="s">
        <v>1586</v>
      </c>
      <c r="O105" s="883" t="s">
        <v>1587</v>
      </c>
      <c r="P105" s="883">
        <v>9</v>
      </c>
      <c r="Q105" s="883" t="e">
        <v>#N/A</v>
      </c>
      <c r="R105" s="883">
        <v>2019</v>
      </c>
      <c r="S105" s="886">
        <v>41622</v>
      </c>
    </row>
    <row r="106" spans="1:24" s="396" customFormat="1" x14ac:dyDescent="0.25">
      <c r="A106" s="883" t="s">
        <v>1765</v>
      </c>
      <c r="B106" s="883" t="s">
        <v>1581</v>
      </c>
      <c r="C106" s="883" t="s">
        <v>1582</v>
      </c>
      <c r="D106" s="883" t="s">
        <v>1624</v>
      </c>
      <c r="E106" s="883" t="s">
        <v>1625</v>
      </c>
      <c r="F106" s="883" t="s">
        <v>1584</v>
      </c>
      <c r="G106" s="884">
        <v>26540</v>
      </c>
      <c r="H106" s="888">
        <v>43717</v>
      </c>
      <c r="I106" s="883" t="s">
        <v>1766</v>
      </c>
      <c r="J106" s="885">
        <v>43717</v>
      </c>
      <c r="K106" s="885">
        <v>43717</v>
      </c>
      <c r="L106" s="883">
        <v>0</v>
      </c>
      <c r="M106" s="886">
        <v>2.1</v>
      </c>
      <c r="N106" s="883" t="s">
        <v>1586</v>
      </c>
      <c r="O106" s="883" t="s">
        <v>1587</v>
      </c>
      <c r="P106" s="883">
        <v>9</v>
      </c>
      <c r="Q106" s="883" t="e">
        <v>#N/A</v>
      </c>
      <c r="R106" s="883">
        <v>2019</v>
      </c>
      <c r="S106" s="886">
        <v>55734</v>
      </c>
    </row>
    <row r="107" spans="1:24" s="396" customFormat="1" x14ac:dyDescent="0.25">
      <c r="A107" s="883" t="s">
        <v>1763</v>
      </c>
      <c r="B107" s="883" t="s">
        <v>1581</v>
      </c>
      <c r="C107" s="883" t="s">
        <v>1582</v>
      </c>
      <c r="D107" s="883" t="s">
        <v>1599</v>
      </c>
      <c r="E107" s="883" t="s">
        <v>1600</v>
      </c>
      <c r="F107" s="883" t="s">
        <v>1584</v>
      </c>
      <c r="G107" s="884">
        <v>41780</v>
      </c>
      <c r="H107" s="888">
        <v>43712</v>
      </c>
      <c r="I107" s="883" t="s">
        <v>1764</v>
      </c>
      <c r="J107" s="885">
        <v>43712</v>
      </c>
      <c r="K107" s="885">
        <v>43712</v>
      </c>
      <c r="L107" s="883">
        <v>0</v>
      </c>
      <c r="M107" s="886">
        <v>2.1</v>
      </c>
      <c r="N107" s="883" t="s">
        <v>1586</v>
      </c>
      <c r="O107" s="883" t="s">
        <v>1587</v>
      </c>
      <c r="P107" s="883">
        <v>9</v>
      </c>
      <c r="Q107" s="883" t="e">
        <v>#N/A</v>
      </c>
      <c r="R107" s="883">
        <v>2019</v>
      </c>
      <c r="S107" s="886">
        <v>87738</v>
      </c>
    </row>
    <row r="108" spans="1:24" s="396" customFormat="1" x14ac:dyDescent="0.25">
      <c r="A108" s="883" t="s">
        <v>1784</v>
      </c>
      <c r="B108" s="883" t="s">
        <v>1581</v>
      </c>
      <c r="C108" s="883" t="s">
        <v>1582</v>
      </c>
      <c r="D108" s="883" t="s">
        <v>1599</v>
      </c>
      <c r="E108" s="883" t="s">
        <v>1600</v>
      </c>
      <c r="F108" s="883" t="s">
        <v>1584</v>
      </c>
      <c r="G108" s="884">
        <v>43080</v>
      </c>
      <c r="H108" s="888">
        <v>43736</v>
      </c>
      <c r="I108" s="883" t="s">
        <v>1785</v>
      </c>
      <c r="J108" s="885">
        <v>43736</v>
      </c>
      <c r="K108" s="885">
        <v>43736</v>
      </c>
      <c r="L108" s="883">
        <v>0</v>
      </c>
      <c r="M108" s="886">
        <v>2.1</v>
      </c>
      <c r="N108" s="883" t="s">
        <v>1586</v>
      </c>
      <c r="O108" s="883" t="s">
        <v>1587</v>
      </c>
      <c r="P108" s="883">
        <v>9</v>
      </c>
      <c r="Q108" s="883" t="e">
        <v>#N/A</v>
      </c>
      <c r="R108" s="883">
        <v>2019</v>
      </c>
      <c r="S108" s="886">
        <v>90468</v>
      </c>
    </row>
    <row r="109" spans="1:24" s="396" customFormat="1" x14ac:dyDescent="0.25">
      <c r="A109" s="883" t="s">
        <v>1769</v>
      </c>
      <c r="B109" s="883" t="s">
        <v>1581</v>
      </c>
      <c r="C109" s="883" t="s">
        <v>1582</v>
      </c>
      <c r="D109" s="883" t="s">
        <v>1677</v>
      </c>
      <c r="E109" s="883" t="s">
        <v>1678</v>
      </c>
      <c r="F109" s="883" t="s">
        <v>1584</v>
      </c>
      <c r="G109" s="884">
        <v>24020</v>
      </c>
      <c r="H109" s="888">
        <v>43717</v>
      </c>
      <c r="I109" s="883" t="s">
        <v>1770</v>
      </c>
      <c r="J109" s="885">
        <v>43717</v>
      </c>
      <c r="K109" s="885">
        <v>43717</v>
      </c>
      <c r="L109" s="883">
        <v>0</v>
      </c>
      <c r="M109" s="886">
        <v>2.1</v>
      </c>
      <c r="N109" s="883" t="s">
        <v>1586</v>
      </c>
      <c r="O109" s="883" t="s">
        <v>1587</v>
      </c>
      <c r="P109" s="883">
        <v>9</v>
      </c>
      <c r="Q109" s="883" t="e">
        <v>#N/A</v>
      </c>
      <c r="R109" s="883">
        <v>2019</v>
      </c>
      <c r="S109" s="886">
        <v>50442</v>
      </c>
    </row>
    <row r="110" spans="1:24" s="396" customFormat="1" x14ac:dyDescent="0.25">
      <c r="A110" s="883" t="s">
        <v>1772</v>
      </c>
      <c r="B110" s="883" t="s">
        <v>1581</v>
      </c>
      <c r="C110" s="883" t="s">
        <v>1582</v>
      </c>
      <c r="D110" s="883" t="s">
        <v>1677</v>
      </c>
      <c r="E110" s="883" t="s">
        <v>1678</v>
      </c>
      <c r="F110" s="883" t="s">
        <v>1584</v>
      </c>
      <c r="G110" s="884">
        <v>25520</v>
      </c>
      <c r="H110" s="888">
        <v>43721</v>
      </c>
      <c r="I110" s="883" t="s">
        <v>1773</v>
      </c>
      <c r="J110" s="885">
        <v>43721</v>
      </c>
      <c r="K110" s="885">
        <v>43721</v>
      </c>
      <c r="L110" s="883">
        <v>0</v>
      </c>
      <c r="M110" s="886">
        <v>2.1</v>
      </c>
      <c r="N110" s="883" t="s">
        <v>1586</v>
      </c>
      <c r="O110" s="883" t="s">
        <v>1587</v>
      </c>
      <c r="P110" s="883">
        <v>9</v>
      </c>
      <c r="Q110" s="883" t="e">
        <v>#N/A</v>
      </c>
      <c r="R110" s="883">
        <v>2019</v>
      </c>
      <c r="S110" s="886">
        <v>53592</v>
      </c>
    </row>
    <row r="111" spans="1:24" s="396" customFormat="1" x14ac:dyDescent="0.25">
      <c r="A111" s="883" t="s">
        <v>1776</v>
      </c>
      <c r="B111" s="883" t="s">
        <v>1654</v>
      </c>
      <c r="C111" s="883" t="s">
        <v>1582</v>
      </c>
      <c r="D111" s="883" t="s">
        <v>1777</v>
      </c>
      <c r="E111" s="883" t="s">
        <v>1678</v>
      </c>
      <c r="F111" s="883" t="s">
        <v>1584</v>
      </c>
      <c r="G111" s="884">
        <v>33360</v>
      </c>
      <c r="H111" s="888">
        <v>43727</v>
      </c>
      <c r="I111" s="883" t="s">
        <v>1778</v>
      </c>
      <c r="J111" s="885">
        <v>43727</v>
      </c>
      <c r="K111" s="885">
        <v>43727</v>
      </c>
      <c r="L111" s="883">
        <v>0</v>
      </c>
      <c r="M111" s="886">
        <v>2.1</v>
      </c>
      <c r="N111" s="883" t="s">
        <v>1586</v>
      </c>
      <c r="O111" s="883" t="s">
        <v>1587</v>
      </c>
      <c r="P111" s="883">
        <v>9</v>
      </c>
      <c r="Q111" s="883" t="e">
        <v>#N/A</v>
      </c>
      <c r="R111" s="883">
        <v>2019</v>
      </c>
      <c r="S111" s="886">
        <v>70056</v>
      </c>
    </row>
    <row r="112" spans="1:24" s="396" customFormat="1" x14ac:dyDescent="0.25">
      <c r="A112" s="889"/>
      <c r="B112" s="889"/>
      <c r="C112" s="889"/>
      <c r="D112" s="889"/>
      <c r="E112" s="889"/>
      <c r="F112" s="889"/>
      <c r="G112" s="890">
        <f>SUM(G100:G111)</f>
        <v>290380</v>
      </c>
      <c r="H112" s="891"/>
      <c r="I112" s="889"/>
      <c r="J112" s="892"/>
      <c r="K112" s="892"/>
      <c r="L112" s="889"/>
      <c r="M112" s="893"/>
      <c r="N112" s="889"/>
      <c r="O112" s="889"/>
      <c r="P112" s="889"/>
      <c r="Q112" s="889"/>
      <c r="R112" s="889"/>
      <c r="S112" s="893"/>
      <c r="V112" s="897">
        <f>G112-W101</f>
        <v>318620</v>
      </c>
    </row>
    <row r="113" spans="1:19" s="396" customFormat="1" x14ac:dyDescent="0.25">
      <c r="A113" s="883" t="s">
        <v>1786</v>
      </c>
      <c r="B113" s="883" t="s">
        <v>1581</v>
      </c>
      <c r="C113" s="883" t="s">
        <v>1582</v>
      </c>
      <c r="D113" s="883" t="s">
        <v>1633</v>
      </c>
      <c r="E113" s="883" t="s">
        <v>824</v>
      </c>
      <c r="F113" s="883" t="s">
        <v>1584</v>
      </c>
      <c r="G113" s="884">
        <v>33300</v>
      </c>
      <c r="H113" s="888">
        <v>43739</v>
      </c>
      <c r="I113" s="883" t="s">
        <v>1787</v>
      </c>
      <c r="J113" s="885">
        <v>43739</v>
      </c>
      <c r="K113" s="885">
        <v>43739</v>
      </c>
      <c r="L113" s="883">
        <v>0</v>
      </c>
      <c r="M113" s="886">
        <v>2</v>
      </c>
      <c r="N113" s="883" t="s">
        <v>1586</v>
      </c>
      <c r="O113" s="883" t="s">
        <v>1587</v>
      </c>
      <c r="P113" s="883">
        <v>10</v>
      </c>
      <c r="Q113" s="883">
        <v>0</v>
      </c>
      <c r="R113" s="883">
        <v>2019</v>
      </c>
      <c r="S113" s="886">
        <v>66600</v>
      </c>
    </row>
    <row r="114" spans="1:19" s="396" customFormat="1" x14ac:dyDescent="0.25">
      <c r="A114" s="883" t="s">
        <v>1788</v>
      </c>
      <c r="B114" s="883" t="s">
        <v>1581</v>
      </c>
      <c r="C114" s="883" t="s">
        <v>1582</v>
      </c>
      <c r="D114" s="883" t="s">
        <v>1633</v>
      </c>
      <c r="E114" s="883" t="s">
        <v>824</v>
      </c>
      <c r="F114" s="883" t="s">
        <v>1584</v>
      </c>
      <c r="G114" s="884">
        <v>21800</v>
      </c>
      <c r="H114" s="888">
        <v>43740</v>
      </c>
      <c r="I114" s="883" t="s">
        <v>1789</v>
      </c>
      <c r="J114" s="885">
        <v>43740</v>
      </c>
      <c r="K114" s="885">
        <v>43740</v>
      </c>
      <c r="L114" s="883">
        <v>0</v>
      </c>
      <c r="M114" s="886">
        <v>2</v>
      </c>
      <c r="N114" s="883" t="s">
        <v>1586</v>
      </c>
      <c r="O114" s="883" t="s">
        <v>1587</v>
      </c>
      <c r="P114" s="883">
        <v>10</v>
      </c>
      <c r="Q114" s="883">
        <v>0</v>
      </c>
      <c r="R114" s="883">
        <v>2019</v>
      </c>
      <c r="S114" s="886">
        <v>43600</v>
      </c>
    </row>
    <row r="115" spans="1:19" s="396" customFormat="1" x14ac:dyDescent="0.25">
      <c r="A115" s="883" t="s">
        <v>1790</v>
      </c>
      <c r="B115" s="883" t="s">
        <v>1654</v>
      </c>
      <c r="C115" s="883" t="s">
        <v>1582</v>
      </c>
      <c r="D115" s="883" t="s">
        <v>1624</v>
      </c>
      <c r="E115" s="883" t="s">
        <v>1625</v>
      </c>
      <c r="F115" s="883" t="s">
        <v>1584</v>
      </c>
      <c r="G115" s="884">
        <v>25400</v>
      </c>
      <c r="H115" s="888">
        <v>43741</v>
      </c>
      <c r="I115" s="883" t="s">
        <v>1791</v>
      </c>
      <c r="J115" s="885">
        <v>43741</v>
      </c>
      <c r="K115" s="885">
        <v>43741</v>
      </c>
      <c r="L115" s="883">
        <v>0</v>
      </c>
      <c r="M115" s="886">
        <v>2.1</v>
      </c>
      <c r="N115" s="883" t="s">
        <v>1586</v>
      </c>
      <c r="O115" s="883" t="s">
        <v>1587</v>
      </c>
      <c r="P115" s="883">
        <v>10</v>
      </c>
      <c r="Q115" s="883" t="e">
        <v>#N/A</v>
      </c>
      <c r="R115" s="883">
        <v>2019</v>
      </c>
      <c r="S115" s="886">
        <v>53340</v>
      </c>
    </row>
    <row r="116" spans="1:19" s="396" customFormat="1" x14ac:dyDescent="0.25">
      <c r="A116" s="883" t="s">
        <v>1792</v>
      </c>
      <c r="B116" s="883" t="s">
        <v>1581</v>
      </c>
      <c r="C116" s="883" t="s">
        <v>1582</v>
      </c>
      <c r="D116" s="883" t="s">
        <v>1633</v>
      </c>
      <c r="E116" s="883" t="s">
        <v>824</v>
      </c>
      <c r="F116" s="883" t="s">
        <v>1584</v>
      </c>
      <c r="G116" s="884">
        <v>27720</v>
      </c>
      <c r="H116" s="888">
        <v>43746</v>
      </c>
      <c r="I116" s="883" t="s">
        <v>1793</v>
      </c>
      <c r="J116" s="885">
        <v>43746</v>
      </c>
      <c r="K116" s="885">
        <v>43746</v>
      </c>
      <c r="L116" s="883">
        <v>0</v>
      </c>
      <c r="M116" s="886">
        <v>2</v>
      </c>
      <c r="N116" s="883" t="s">
        <v>1586</v>
      </c>
      <c r="O116" s="883" t="s">
        <v>1587</v>
      </c>
      <c r="P116" s="883">
        <v>10</v>
      </c>
      <c r="Q116" s="883">
        <v>0</v>
      </c>
      <c r="R116" s="883">
        <v>2019</v>
      </c>
      <c r="S116" s="886">
        <v>55440</v>
      </c>
    </row>
    <row r="117" spans="1:19" s="396" customFormat="1" x14ac:dyDescent="0.25">
      <c r="A117" s="883" t="s">
        <v>1794</v>
      </c>
      <c r="B117" s="883" t="s">
        <v>1581</v>
      </c>
      <c r="C117" s="883" t="s">
        <v>1582</v>
      </c>
      <c r="D117" s="883" t="s">
        <v>1633</v>
      </c>
      <c r="E117" s="883" t="s">
        <v>824</v>
      </c>
      <c r="F117" s="883" t="s">
        <v>1584</v>
      </c>
      <c r="G117" s="884">
        <v>31250</v>
      </c>
      <c r="H117" s="888">
        <v>43748</v>
      </c>
      <c r="I117" s="883" t="s">
        <v>1795</v>
      </c>
      <c r="J117" s="885">
        <v>43748</v>
      </c>
      <c r="K117" s="885">
        <v>43748</v>
      </c>
      <c r="L117" s="883">
        <v>0</v>
      </c>
      <c r="M117" s="886">
        <v>2</v>
      </c>
      <c r="N117" s="883" t="s">
        <v>1586</v>
      </c>
      <c r="O117" s="883" t="s">
        <v>1587</v>
      </c>
      <c r="P117" s="883">
        <v>10</v>
      </c>
      <c r="Q117" s="883">
        <v>0</v>
      </c>
      <c r="R117" s="883">
        <v>2019</v>
      </c>
      <c r="S117" s="886">
        <v>62500</v>
      </c>
    </row>
    <row r="118" spans="1:19" s="396" customFormat="1" x14ac:dyDescent="0.25">
      <c r="A118" s="883" t="s">
        <v>1796</v>
      </c>
      <c r="B118" s="883" t="s">
        <v>1581</v>
      </c>
      <c r="C118" s="883" t="s">
        <v>1582</v>
      </c>
      <c r="D118" s="883" t="s">
        <v>1633</v>
      </c>
      <c r="E118" s="883" t="s">
        <v>824</v>
      </c>
      <c r="F118" s="883" t="s">
        <v>1584</v>
      </c>
      <c r="G118" s="884">
        <v>29020</v>
      </c>
      <c r="H118" s="888">
        <v>43749</v>
      </c>
      <c r="I118" s="883" t="s">
        <v>1797</v>
      </c>
      <c r="J118" s="885">
        <v>43749</v>
      </c>
      <c r="K118" s="885">
        <v>43749</v>
      </c>
      <c r="L118" s="883">
        <v>0</v>
      </c>
      <c r="M118" s="886">
        <v>2</v>
      </c>
      <c r="N118" s="883" t="s">
        <v>1586</v>
      </c>
      <c r="O118" s="883" t="s">
        <v>1587</v>
      </c>
      <c r="P118" s="883">
        <v>10</v>
      </c>
      <c r="Q118" s="883">
        <v>0</v>
      </c>
      <c r="R118" s="883">
        <v>2019</v>
      </c>
      <c r="S118" s="886">
        <v>58040</v>
      </c>
    </row>
    <row r="119" spans="1:19" s="396" customFormat="1" x14ac:dyDescent="0.25">
      <c r="A119" s="883" t="s">
        <v>1798</v>
      </c>
      <c r="B119" s="883" t="s">
        <v>1581</v>
      </c>
      <c r="C119" s="883" t="s">
        <v>1582</v>
      </c>
      <c r="D119" s="883" t="s">
        <v>1677</v>
      </c>
      <c r="E119" s="883" t="s">
        <v>1678</v>
      </c>
      <c r="F119" s="883" t="s">
        <v>1584</v>
      </c>
      <c r="G119" s="884">
        <v>29240</v>
      </c>
      <c r="H119" s="888">
        <v>43749</v>
      </c>
      <c r="I119" s="883" t="s">
        <v>1799</v>
      </c>
      <c r="J119" s="885">
        <v>43749</v>
      </c>
      <c r="K119" s="885">
        <v>43749</v>
      </c>
      <c r="L119" s="883">
        <v>0</v>
      </c>
      <c r="M119" s="886">
        <v>2.1</v>
      </c>
      <c r="N119" s="883" t="s">
        <v>1586</v>
      </c>
      <c r="O119" s="883" t="s">
        <v>1587</v>
      </c>
      <c r="P119" s="883">
        <v>10</v>
      </c>
      <c r="Q119" s="883" t="e">
        <v>#N/A</v>
      </c>
      <c r="R119" s="883">
        <v>2019</v>
      </c>
      <c r="S119" s="886">
        <v>61404</v>
      </c>
    </row>
    <row r="120" spans="1:19" s="396" customFormat="1" x14ac:dyDescent="0.25">
      <c r="A120" s="883" t="s">
        <v>1800</v>
      </c>
      <c r="B120" s="883" t="s">
        <v>1581</v>
      </c>
      <c r="C120" s="883" t="s">
        <v>1582</v>
      </c>
      <c r="D120" s="883" t="s">
        <v>1633</v>
      </c>
      <c r="E120" s="883" t="s">
        <v>824</v>
      </c>
      <c r="F120" s="883" t="s">
        <v>1584</v>
      </c>
      <c r="G120" s="884">
        <v>29080</v>
      </c>
      <c r="H120" s="888">
        <v>43759</v>
      </c>
      <c r="I120" s="883" t="s">
        <v>1801</v>
      </c>
      <c r="J120" s="885">
        <v>43759</v>
      </c>
      <c r="K120" s="885">
        <v>43759</v>
      </c>
      <c r="L120" s="883">
        <v>0</v>
      </c>
      <c r="M120" s="886">
        <v>1.9</v>
      </c>
      <c r="N120" s="883" t="s">
        <v>1586</v>
      </c>
      <c r="O120" s="883" t="s">
        <v>1587</v>
      </c>
      <c r="P120" s="883">
        <v>10</v>
      </c>
      <c r="Q120" s="883">
        <v>0</v>
      </c>
      <c r="R120" s="883">
        <v>2019</v>
      </c>
      <c r="S120" s="886">
        <v>55252</v>
      </c>
    </row>
    <row r="121" spans="1:19" s="396" customFormat="1" x14ac:dyDescent="0.25">
      <c r="A121" s="883" t="s">
        <v>1802</v>
      </c>
      <c r="B121" s="883" t="s">
        <v>1581</v>
      </c>
      <c r="C121" s="883" t="s">
        <v>1582</v>
      </c>
      <c r="D121" s="883" t="s">
        <v>1633</v>
      </c>
      <c r="E121" s="883" t="s">
        <v>824</v>
      </c>
      <c r="F121" s="883" t="s">
        <v>1584</v>
      </c>
      <c r="G121" s="884">
        <v>29820</v>
      </c>
      <c r="H121" s="888">
        <v>43761</v>
      </c>
      <c r="I121" s="883" t="s">
        <v>1803</v>
      </c>
      <c r="J121" s="885">
        <v>36822</v>
      </c>
      <c r="K121" s="885">
        <v>43761</v>
      </c>
      <c r="L121" s="883">
        <v>0</v>
      </c>
      <c r="M121" s="886">
        <v>1.9</v>
      </c>
      <c r="N121" s="883" t="s">
        <v>1586</v>
      </c>
      <c r="O121" s="883" t="s">
        <v>1587</v>
      </c>
      <c r="P121" s="883">
        <v>10</v>
      </c>
      <c r="Q121" s="883">
        <v>0</v>
      </c>
      <c r="R121" s="883">
        <v>2019</v>
      </c>
      <c r="S121" s="886">
        <v>56658</v>
      </c>
    </row>
    <row r="122" spans="1:19" s="396" customFormat="1" x14ac:dyDescent="0.25">
      <c r="A122" s="883" t="s">
        <v>1804</v>
      </c>
      <c r="B122" s="883" t="s">
        <v>1581</v>
      </c>
      <c r="C122" s="883" t="s">
        <v>1582</v>
      </c>
      <c r="D122" s="883" t="s">
        <v>1633</v>
      </c>
      <c r="E122" s="883" t="s">
        <v>824</v>
      </c>
      <c r="F122" s="883" t="s">
        <v>1584</v>
      </c>
      <c r="G122" s="884">
        <v>31580</v>
      </c>
      <c r="H122" s="888">
        <v>43767</v>
      </c>
      <c r="I122" s="883" t="s">
        <v>1805</v>
      </c>
      <c r="J122" s="885">
        <v>43767</v>
      </c>
      <c r="K122" s="885">
        <v>43767</v>
      </c>
      <c r="L122" s="883">
        <v>0</v>
      </c>
      <c r="M122" s="886">
        <v>1.9</v>
      </c>
      <c r="N122" s="883" t="s">
        <v>1586</v>
      </c>
      <c r="O122" s="883" t="s">
        <v>1587</v>
      </c>
      <c r="P122" s="883">
        <v>10</v>
      </c>
      <c r="Q122" s="883">
        <v>0</v>
      </c>
      <c r="R122" s="883">
        <v>2019</v>
      </c>
      <c r="S122" s="886">
        <v>60002</v>
      </c>
    </row>
    <row r="123" spans="1:19" s="396" customFormat="1" x14ac:dyDescent="0.25">
      <c r="A123" s="883" t="s">
        <v>1806</v>
      </c>
      <c r="B123" s="883" t="s">
        <v>1581</v>
      </c>
      <c r="C123" s="883" t="s">
        <v>1582</v>
      </c>
      <c r="D123" s="883" t="s">
        <v>1599</v>
      </c>
      <c r="E123" s="883" t="s">
        <v>1600</v>
      </c>
      <c r="F123" s="883" t="s">
        <v>1584</v>
      </c>
      <c r="G123" s="884">
        <v>41680</v>
      </c>
      <c r="H123" s="888">
        <v>43768</v>
      </c>
      <c r="I123" s="883" t="s">
        <v>1807</v>
      </c>
      <c r="J123" s="885">
        <v>43753</v>
      </c>
      <c r="K123" s="885">
        <v>43753</v>
      </c>
      <c r="L123" s="883">
        <v>0</v>
      </c>
      <c r="M123" s="886">
        <v>2.1</v>
      </c>
      <c r="N123" s="883" t="s">
        <v>1586</v>
      </c>
      <c r="O123" s="883" t="s">
        <v>1587</v>
      </c>
      <c r="P123" s="883">
        <v>10</v>
      </c>
      <c r="Q123" s="883" t="e">
        <v>#N/A</v>
      </c>
      <c r="R123" s="883">
        <v>2019</v>
      </c>
      <c r="S123" s="886">
        <v>87528</v>
      </c>
    </row>
    <row r="124" spans="1:19" s="396" customFormat="1" x14ac:dyDescent="0.25">
      <c r="A124" s="883" t="s">
        <v>1808</v>
      </c>
      <c r="B124" s="883" t="s">
        <v>1581</v>
      </c>
      <c r="C124" s="883" t="s">
        <v>1582</v>
      </c>
      <c r="D124" s="883" t="s">
        <v>1624</v>
      </c>
      <c r="E124" s="883" t="s">
        <v>1625</v>
      </c>
      <c r="F124" s="883" t="s">
        <v>1584</v>
      </c>
      <c r="G124" s="884">
        <v>24120</v>
      </c>
      <c r="H124" s="888">
        <v>43768</v>
      </c>
      <c r="I124" s="883" t="s">
        <v>1809</v>
      </c>
      <c r="J124" s="885">
        <v>43769</v>
      </c>
      <c r="K124" s="885">
        <v>43769</v>
      </c>
      <c r="L124" s="883">
        <v>0</v>
      </c>
      <c r="M124" s="886">
        <v>2.1</v>
      </c>
      <c r="N124" s="883" t="s">
        <v>1586</v>
      </c>
      <c r="O124" s="883" t="s">
        <v>1587</v>
      </c>
      <c r="P124" s="883">
        <v>10</v>
      </c>
      <c r="Q124" s="883" t="e">
        <v>#N/A</v>
      </c>
      <c r="R124" s="883">
        <v>2019</v>
      </c>
      <c r="S124" s="886">
        <v>50652</v>
      </c>
    </row>
    <row r="125" spans="1:19" s="396" customFormat="1" x14ac:dyDescent="0.25">
      <c r="A125" s="883" t="s">
        <v>1810</v>
      </c>
      <c r="B125" s="883" t="s">
        <v>1581</v>
      </c>
      <c r="C125" s="883" t="s">
        <v>1582</v>
      </c>
      <c r="D125" s="883" t="s">
        <v>1633</v>
      </c>
      <c r="E125" s="883" t="s">
        <v>824</v>
      </c>
      <c r="F125" s="883" t="s">
        <v>1584</v>
      </c>
      <c r="G125" s="884">
        <v>35800</v>
      </c>
      <c r="H125" s="888">
        <v>43768</v>
      </c>
      <c r="I125" s="883" t="s">
        <v>1811</v>
      </c>
      <c r="J125" s="885">
        <v>43754</v>
      </c>
      <c r="K125" s="885">
        <v>43754</v>
      </c>
      <c r="L125" s="883">
        <v>0</v>
      </c>
      <c r="M125" s="886">
        <v>2</v>
      </c>
      <c r="N125" s="883" t="s">
        <v>1586</v>
      </c>
      <c r="O125" s="883" t="s">
        <v>1587</v>
      </c>
      <c r="P125" s="883">
        <v>10</v>
      </c>
      <c r="Q125" s="883">
        <v>0</v>
      </c>
      <c r="R125" s="883">
        <v>2019</v>
      </c>
      <c r="S125" s="886">
        <v>71600</v>
      </c>
    </row>
    <row r="126" spans="1:19" s="396" customFormat="1" x14ac:dyDescent="0.25">
      <c r="A126" s="883" t="s">
        <v>1812</v>
      </c>
      <c r="B126" s="883" t="s">
        <v>1581</v>
      </c>
      <c r="C126" s="883" t="s">
        <v>1582</v>
      </c>
      <c r="D126" s="883" t="s">
        <v>1633</v>
      </c>
      <c r="E126" s="883" t="s">
        <v>824</v>
      </c>
      <c r="F126" s="883" t="s">
        <v>1584</v>
      </c>
      <c r="G126" s="884">
        <v>24880</v>
      </c>
      <c r="H126" s="888">
        <v>43769</v>
      </c>
      <c r="I126" s="883" t="s">
        <v>1813</v>
      </c>
      <c r="J126" s="885">
        <v>43769</v>
      </c>
      <c r="K126" s="885">
        <v>43769</v>
      </c>
      <c r="L126" s="883">
        <v>0</v>
      </c>
      <c r="M126" s="886">
        <v>1.9</v>
      </c>
      <c r="N126" s="883" t="s">
        <v>1586</v>
      </c>
      <c r="O126" s="883" t="s">
        <v>1587</v>
      </c>
      <c r="P126" s="883">
        <v>10</v>
      </c>
      <c r="Q126" s="883">
        <v>0</v>
      </c>
      <c r="R126" s="883">
        <v>2019</v>
      </c>
      <c r="S126" s="886">
        <v>47272</v>
      </c>
    </row>
    <row r="127" spans="1:19" s="396" customFormat="1" x14ac:dyDescent="0.25">
      <c r="A127" s="889"/>
      <c r="B127" s="889"/>
      <c r="C127" s="889"/>
      <c r="D127" s="889"/>
      <c r="E127" s="889"/>
      <c r="F127" s="889"/>
      <c r="G127" s="890">
        <f>SUM(G113:G126)</f>
        <v>414690</v>
      </c>
      <c r="H127" s="891"/>
      <c r="I127" s="889"/>
      <c r="J127" s="892"/>
      <c r="K127" s="892"/>
      <c r="L127" s="889"/>
      <c r="M127" s="893"/>
      <c r="N127" s="889"/>
      <c r="O127" s="889"/>
      <c r="P127" s="889"/>
      <c r="Q127" s="889"/>
      <c r="R127" s="889"/>
      <c r="S127" s="893"/>
    </row>
    <row r="128" spans="1:19" s="396" customFormat="1" x14ac:dyDescent="0.25">
      <c r="A128" s="883" t="s">
        <v>1814</v>
      </c>
      <c r="B128" s="883" t="s">
        <v>1581</v>
      </c>
      <c r="C128" s="883" t="s">
        <v>1582</v>
      </c>
      <c r="D128" s="883" t="s">
        <v>1633</v>
      </c>
      <c r="E128" s="883" t="s">
        <v>824</v>
      </c>
      <c r="F128" s="883" t="s">
        <v>1584</v>
      </c>
      <c r="G128" s="884">
        <v>26820</v>
      </c>
      <c r="H128" s="888">
        <v>43773</v>
      </c>
      <c r="I128" s="883" t="s">
        <v>1815</v>
      </c>
      <c r="J128" s="885">
        <v>43773</v>
      </c>
      <c r="K128" s="885">
        <v>43773</v>
      </c>
      <c r="L128" s="883">
        <v>0</v>
      </c>
      <c r="M128" s="886">
        <v>2</v>
      </c>
      <c r="N128" s="883" t="s">
        <v>1586</v>
      </c>
      <c r="O128" s="883" t="s">
        <v>1587</v>
      </c>
      <c r="P128" s="883">
        <v>11</v>
      </c>
      <c r="Q128" s="883">
        <v>0</v>
      </c>
      <c r="R128" s="883">
        <v>2019</v>
      </c>
      <c r="S128" s="886">
        <v>53640</v>
      </c>
    </row>
    <row r="129" spans="1:24" s="396" customFormat="1" x14ac:dyDescent="0.25">
      <c r="A129" s="883" t="s">
        <v>1816</v>
      </c>
      <c r="B129" s="883" t="s">
        <v>1581</v>
      </c>
      <c r="C129" s="883" t="s">
        <v>1582</v>
      </c>
      <c r="D129" s="883" t="s">
        <v>1633</v>
      </c>
      <c r="E129" s="883" t="s">
        <v>824</v>
      </c>
      <c r="F129" s="883" t="s">
        <v>1584</v>
      </c>
      <c r="G129" s="884">
        <v>23980</v>
      </c>
      <c r="H129" s="888">
        <v>43774</v>
      </c>
      <c r="I129" s="883" t="s">
        <v>1817</v>
      </c>
      <c r="J129" s="885">
        <v>43774</v>
      </c>
      <c r="K129" s="885">
        <v>43774</v>
      </c>
      <c r="L129" s="883">
        <v>0</v>
      </c>
      <c r="M129" s="886">
        <v>2</v>
      </c>
      <c r="N129" s="883" t="s">
        <v>1586</v>
      </c>
      <c r="O129" s="883" t="s">
        <v>1587</v>
      </c>
      <c r="P129" s="883">
        <v>11</v>
      </c>
      <c r="Q129" s="883">
        <v>0</v>
      </c>
      <c r="R129" s="883">
        <v>2019</v>
      </c>
      <c r="S129" s="886">
        <v>47960</v>
      </c>
    </row>
    <row r="130" spans="1:24" s="396" customFormat="1" x14ac:dyDescent="0.25">
      <c r="A130" s="883" t="s">
        <v>1818</v>
      </c>
      <c r="B130" s="883" t="s">
        <v>1581</v>
      </c>
      <c r="C130" s="883" t="s">
        <v>1582</v>
      </c>
      <c r="D130" s="883" t="s">
        <v>1633</v>
      </c>
      <c r="E130" s="883" t="s">
        <v>824</v>
      </c>
      <c r="F130" s="883" t="s">
        <v>1584</v>
      </c>
      <c r="G130" s="884">
        <v>29680</v>
      </c>
      <c r="H130" s="888">
        <v>43776</v>
      </c>
      <c r="I130" s="883" t="s">
        <v>1819</v>
      </c>
      <c r="J130" s="885">
        <v>43776</v>
      </c>
      <c r="K130" s="885">
        <v>43796</v>
      </c>
      <c r="L130" s="883">
        <v>0</v>
      </c>
      <c r="M130" s="886">
        <v>2</v>
      </c>
      <c r="N130" s="883" t="s">
        <v>1586</v>
      </c>
      <c r="O130" s="883" t="s">
        <v>1587</v>
      </c>
      <c r="P130" s="883">
        <v>11</v>
      </c>
      <c r="Q130" s="883">
        <v>0</v>
      </c>
      <c r="R130" s="883">
        <v>2019</v>
      </c>
      <c r="S130" s="886">
        <v>59360</v>
      </c>
    </row>
    <row r="131" spans="1:24" s="396" customFormat="1" x14ac:dyDescent="0.25">
      <c r="A131" s="883" t="s">
        <v>1820</v>
      </c>
      <c r="B131" s="883" t="s">
        <v>1581</v>
      </c>
      <c r="C131" s="883" t="s">
        <v>1582</v>
      </c>
      <c r="D131" s="883" t="s">
        <v>1633</v>
      </c>
      <c r="E131" s="883" t="s">
        <v>824</v>
      </c>
      <c r="F131" s="883" t="s">
        <v>1584</v>
      </c>
      <c r="G131" s="884">
        <v>25560</v>
      </c>
      <c r="H131" s="888">
        <v>43782</v>
      </c>
      <c r="I131" s="883" t="s">
        <v>1821</v>
      </c>
      <c r="J131" s="885">
        <v>43782</v>
      </c>
      <c r="K131" s="885">
        <v>43796</v>
      </c>
      <c r="L131" s="883">
        <v>0</v>
      </c>
      <c r="M131" s="886">
        <v>2</v>
      </c>
      <c r="N131" s="883" t="s">
        <v>1586</v>
      </c>
      <c r="O131" s="883" t="s">
        <v>1587</v>
      </c>
      <c r="P131" s="883">
        <v>11</v>
      </c>
      <c r="Q131" s="883">
        <v>0</v>
      </c>
      <c r="R131" s="883">
        <v>2019</v>
      </c>
      <c r="S131" s="886">
        <v>51120</v>
      </c>
      <c r="W131" s="396">
        <v>-20000</v>
      </c>
      <c r="X131" s="396" t="s">
        <v>1871</v>
      </c>
    </row>
    <row r="132" spans="1:24" s="396" customFormat="1" x14ac:dyDescent="0.25">
      <c r="A132" s="883" t="s">
        <v>1822</v>
      </c>
      <c r="B132" s="883" t="s">
        <v>1581</v>
      </c>
      <c r="C132" s="883" t="s">
        <v>1582</v>
      </c>
      <c r="D132" s="883" t="s">
        <v>1633</v>
      </c>
      <c r="E132" s="883" t="s">
        <v>824</v>
      </c>
      <c r="F132" s="883" t="s">
        <v>1584</v>
      </c>
      <c r="G132" s="884">
        <v>29820</v>
      </c>
      <c r="H132" s="888">
        <v>43784</v>
      </c>
      <c r="I132" s="883" t="s">
        <v>1823</v>
      </c>
      <c r="J132" s="885">
        <v>43784</v>
      </c>
      <c r="K132" s="885">
        <v>43796</v>
      </c>
      <c r="L132" s="883">
        <v>0</v>
      </c>
      <c r="M132" s="886">
        <v>2</v>
      </c>
      <c r="N132" s="883" t="s">
        <v>1586</v>
      </c>
      <c r="O132" s="883" t="s">
        <v>1587</v>
      </c>
      <c r="P132" s="883">
        <v>11</v>
      </c>
      <c r="Q132" s="883">
        <v>0</v>
      </c>
      <c r="R132" s="883">
        <v>2019</v>
      </c>
      <c r="S132" s="886">
        <v>59640</v>
      </c>
    </row>
    <row r="133" spans="1:24" s="396" customFormat="1" x14ac:dyDescent="0.25">
      <c r="A133" s="883" t="s">
        <v>1824</v>
      </c>
      <c r="B133" s="883" t="s">
        <v>1581</v>
      </c>
      <c r="C133" s="883" t="s">
        <v>1582</v>
      </c>
      <c r="D133" s="883" t="s">
        <v>1633</v>
      </c>
      <c r="E133" s="883" t="s">
        <v>824</v>
      </c>
      <c r="F133" s="883" t="s">
        <v>1584</v>
      </c>
      <c r="G133" s="884">
        <v>38480</v>
      </c>
      <c r="H133" s="888">
        <v>43787</v>
      </c>
      <c r="I133" s="883" t="s">
        <v>1825</v>
      </c>
      <c r="J133" s="885">
        <v>43787</v>
      </c>
      <c r="K133" s="885">
        <v>43796</v>
      </c>
      <c r="L133" s="883">
        <v>0</v>
      </c>
      <c r="M133" s="886">
        <v>2</v>
      </c>
      <c r="N133" s="883" t="s">
        <v>1586</v>
      </c>
      <c r="O133" s="883" t="s">
        <v>1587</v>
      </c>
      <c r="P133" s="883">
        <v>11</v>
      </c>
      <c r="Q133" s="883">
        <v>0</v>
      </c>
      <c r="R133" s="883">
        <v>2019</v>
      </c>
      <c r="S133" s="886">
        <v>76960</v>
      </c>
    </row>
    <row r="134" spans="1:24" s="396" customFormat="1" x14ac:dyDescent="0.25">
      <c r="A134" s="883" t="s">
        <v>1828</v>
      </c>
      <c r="B134" s="883" t="s">
        <v>1581</v>
      </c>
      <c r="C134" s="883" t="s">
        <v>1582</v>
      </c>
      <c r="D134" s="883" t="s">
        <v>1633</v>
      </c>
      <c r="E134" s="883" t="s">
        <v>824</v>
      </c>
      <c r="F134" s="883" t="s">
        <v>1584</v>
      </c>
      <c r="G134" s="884">
        <v>22620</v>
      </c>
      <c r="H134" s="888">
        <v>43790</v>
      </c>
      <c r="I134" s="883" t="s">
        <v>1829</v>
      </c>
      <c r="J134" s="885">
        <v>43790</v>
      </c>
      <c r="K134" s="885">
        <v>43796</v>
      </c>
      <c r="L134" s="883">
        <v>0</v>
      </c>
      <c r="M134" s="886">
        <v>2</v>
      </c>
      <c r="N134" s="883" t="s">
        <v>1586</v>
      </c>
      <c r="O134" s="883" t="s">
        <v>1587</v>
      </c>
      <c r="P134" s="883">
        <v>11</v>
      </c>
      <c r="Q134" s="883">
        <v>0</v>
      </c>
      <c r="R134" s="883">
        <v>2019</v>
      </c>
      <c r="S134" s="886">
        <v>45240</v>
      </c>
    </row>
    <row r="135" spans="1:24" s="396" customFormat="1" x14ac:dyDescent="0.25">
      <c r="A135" s="883" t="s">
        <v>1832</v>
      </c>
      <c r="B135" s="883" t="s">
        <v>1581</v>
      </c>
      <c r="C135" s="883" t="s">
        <v>1582</v>
      </c>
      <c r="D135" s="883" t="s">
        <v>1633</v>
      </c>
      <c r="E135" s="883" t="s">
        <v>824</v>
      </c>
      <c r="F135" s="883" t="s">
        <v>1584</v>
      </c>
      <c r="G135" s="884">
        <v>23400</v>
      </c>
      <c r="H135" s="888">
        <v>43796</v>
      </c>
      <c r="I135" s="883" t="s">
        <v>1833</v>
      </c>
      <c r="J135" s="885">
        <v>43796</v>
      </c>
      <c r="K135" s="885">
        <v>43796</v>
      </c>
      <c r="L135" s="883">
        <v>0</v>
      </c>
      <c r="M135" s="886">
        <v>2</v>
      </c>
      <c r="N135" s="883" t="s">
        <v>1586</v>
      </c>
      <c r="O135" s="883" t="s">
        <v>1587</v>
      </c>
      <c r="P135" s="883">
        <v>11</v>
      </c>
      <c r="Q135" s="883">
        <v>0</v>
      </c>
      <c r="R135" s="883">
        <v>2019</v>
      </c>
      <c r="S135" s="886">
        <v>46800</v>
      </c>
    </row>
    <row r="136" spans="1:24" s="396" customFormat="1" x14ac:dyDescent="0.25">
      <c r="A136" s="883" t="s">
        <v>1836</v>
      </c>
      <c r="B136" s="883" t="s">
        <v>1581</v>
      </c>
      <c r="C136" s="883" t="s">
        <v>1582</v>
      </c>
      <c r="D136" s="883" t="s">
        <v>1633</v>
      </c>
      <c r="E136" s="883" t="s">
        <v>824</v>
      </c>
      <c r="F136" s="883" t="s">
        <v>1584</v>
      </c>
      <c r="G136" s="884">
        <v>31360</v>
      </c>
      <c r="H136" s="888">
        <v>43798</v>
      </c>
      <c r="I136" s="883" t="s">
        <v>1837</v>
      </c>
      <c r="J136" s="885">
        <v>43798</v>
      </c>
      <c r="K136" s="885">
        <v>43798</v>
      </c>
      <c r="L136" s="883">
        <v>0</v>
      </c>
      <c r="M136" s="886">
        <v>2</v>
      </c>
      <c r="N136" s="883" t="s">
        <v>1586</v>
      </c>
      <c r="O136" s="883" t="s">
        <v>1587</v>
      </c>
      <c r="P136" s="883">
        <v>11</v>
      </c>
      <c r="Q136" s="883">
        <v>0</v>
      </c>
      <c r="R136" s="883">
        <v>2019</v>
      </c>
      <c r="S136" s="886">
        <v>62720</v>
      </c>
    </row>
    <row r="137" spans="1:24" s="396" customFormat="1" x14ac:dyDescent="0.25">
      <c r="A137" s="883" t="s">
        <v>1834</v>
      </c>
      <c r="B137" s="883" t="s">
        <v>1581</v>
      </c>
      <c r="C137" s="883" t="s">
        <v>1582</v>
      </c>
      <c r="D137" s="883" t="s">
        <v>1583</v>
      </c>
      <c r="E137" s="883" t="s">
        <v>577</v>
      </c>
      <c r="F137" s="883" t="s">
        <v>1584</v>
      </c>
      <c r="G137" s="884">
        <v>21980</v>
      </c>
      <c r="H137" s="888">
        <v>43798</v>
      </c>
      <c r="I137" s="883" t="s">
        <v>1835</v>
      </c>
      <c r="J137" s="885">
        <v>43798</v>
      </c>
      <c r="K137" s="885">
        <v>43798</v>
      </c>
      <c r="L137" s="883">
        <v>0</v>
      </c>
      <c r="M137" s="886">
        <v>2.2000000000000002</v>
      </c>
      <c r="N137" s="883" t="s">
        <v>1586</v>
      </c>
      <c r="O137" s="883" t="s">
        <v>1587</v>
      </c>
      <c r="P137" s="883">
        <v>11</v>
      </c>
      <c r="Q137" s="883" t="e">
        <v>#N/A</v>
      </c>
      <c r="R137" s="883">
        <v>2019</v>
      </c>
      <c r="S137" s="886">
        <v>48356.000000000007</v>
      </c>
    </row>
    <row r="138" spans="1:24" s="396" customFormat="1" x14ac:dyDescent="0.25">
      <c r="A138" s="883" t="s">
        <v>1830</v>
      </c>
      <c r="B138" s="883" t="s">
        <v>1581</v>
      </c>
      <c r="C138" s="883" t="s">
        <v>1582</v>
      </c>
      <c r="D138" s="883" t="s">
        <v>1624</v>
      </c>
      <c r="E138" s="883" t="s">
        <v>1625</v>
      </c>
      <c r="F138" s="883" t="s">
        <v>1584</v>
      </c>
      <c r="G138" s="884">
        <v>24960</v>
      </c>
      <c r="H138" s="888">
        <v>43796</v>
      </c>
      <c r="I138" s="883" t="s">
        <v>1831</v>
      </c>
      <c r="J138" s="885">
        <v>43796</v>
      </c>
      <c r="K138" s="885">
        <v>43796</v>
      </c>
      <c r="L138" s="883">
        <v>0</v>
      </c>
      <c r="M138" s="886">
        <v>2.25</v>
      </c>
      <c r="N138" s="883" t="s">
        <v>1586</v>
      </c>
      <c r="O138" s="883" t="s">
        <v>1587</v>
      </c>
      <c r="P138" s="883">
        <v>11</v>
      </c>
      <c r="Q138" s="883" t="e">
        <v>#N/A</v>
      </c>
      <c r="R138" s="883">
        <v>2019</v>
      </c>
      <c r="S138" s="886">
        <v>56160</v>
      </c>
    </row>
    <row r="139" spans="1:24" s="396" customFormat="1" x14ac:dyDescent="0.25">
      <c r="A139" s="883" t="s">
        <v>1826</v>
      </c>
      <c r="B139" s="883" t="s">
        <v>1581</v>
      </c>
      <c r="C139" s="883" t="s">
        <v>1582</v>
      </c>
      <c r="D139" s="883" t="s">
        <v>1599</v>
      </c>
      <c r="E139" s="883" t="s">
        <v>1600</v>
      </c>
      <c r="F139" s="883" t="s">
        <v>1584</v>
      </c>
      <c r="G139" s="884">
        <v>77760</v>
      </c>
      <c r="H139" s="888">
        <v>43790</v>
      </c>
      <c r="I139" s="883" t="s">
        <v>1827</v>
      </c>
      <c r="J139" s="885">
        <v>43790</v>
      </c>
      <c r="K139" s="885">
        <v>43790</v>
      </c>
      <c r="L139" s="883">
        <v>0</v>
      </c>
      <c r="M139" s="886">
        <v>2.2000000000000002</v>
      </c>
      <c r="N139" s="883" t="s">
        <v>1586</v>
      </c>
      <c r="O139" s="883" t="s">
        <v>1587</v>
      </c>
      <c r="P139" s="883">
        <v>11</v>
      </c>
      <c r="Q139" s="883" t="e">
        <v>#N/A</v>
      </c>
      <c r="R139" s="883">
        <v>2019</v>
      </c>
      <c r="S139" s="886">
        <v>171072</v>
      </c>
    </row>
    <row r="140" spans="1:24" s="396" customFormat="1" x14ac:dyDescent="0.25">
      <c r="A140" s="889"/>
      <c r="B140" s="889"/>
      <c r="C140" s="889"/>
      <c r="D140" s="889"/>
      <c r="E140" s="889"/>
      <c r="F140" s="889"/>
      <c r="G140" s="890">
        <f>SUM(G128:G139)</f>
        <v>376420</v>
      </c>
      <c r="H140" s="891"/>
      <c r="I140" s="889"/>
      <c r="J140" s="892"/>
      <c r="K140" s="892"/>
      <c r="L140" s="889"/>
      <c r="M140" s="893"/>
      <c r="N140" s="889"/>
      <c r="O140" s="889"/>
      <c r="P140" s="889"/>
      <c r="Q140" s="889"/>
      <c r="R140" s="889"/>
      <c r="S140" s="893"/>
      <c r="V140" s="897">
        <f>G140-W131</f>
        <v>396420</v>
      </c>
    </row>
    <row r="141" spans="1:24" s="396" customFormat="1" x14ac:dyDescent="0.25">
      <c r="A141" s="883" t="s">
        <v>1838</v>
      </c>
      <c r="B141" s="883" t="s">
        <v>1581</v>
      </c>
      <c r="C141" s="883" t="s">
        <v>1582</v>
      </c>
      <c r="D141" s="883" t="s">
        <v>1633</v>
      </c>
      <c r="E141" s="883" t="s">
        <v>824</v>
      </c>
      <c r="F141" s="883" t="s">
        <v>1584</v>
      </c>
      <c r="G141" s="884">
        <v>29020</v>
      </c>
      <c r="H141" s="888">
        <v>43802</v>
      </c>
      <c r="I141" s="883" t="s">
        <v>1839</v>
      </c>
      <c r="J141" s="885">
        <v>43802</v>
      </c>
      <c r="K141" s="885">
        <v>43802</v>
      </c>
      <c r="L141" s="883">
        <v>0</v>
      </c>
      <c r="M141" s="886">
        <v>2.1</v>
      </c>
      <c r="N141" s="883" t="s">
        <v>1586</v>
      </c>
      <c r="O141" s="883" t="s">
        <v>1587</v>
      </c>
      <c r="P141" s="883">
        <v>12</v>
      </c>
      <c r="Q141" s="883">
        <v>0</v>
      </c>
      <c r="R141" s="883">
        <v>2019</v>
      </c>
      <c r="S141" s="886">
        <v>60942</v>
      </c>
    </row>
    <row r="142" spans="1:24" s="396" customFormat="1" x14ac:dyDescent="0.25">
      <c r="A142" s="883" t="s">
        <v>1838</v>
      </c>
      <c r="B142" s="883" t="s">
        <v>1581</v>
      </c>
      <c r="C142" s="883" t="s">
        <v>1582</v>
      </c>
      <c r="D142" s="883" t="s">
        <v>1633</v>
      </c>
      <c r="E142" s="883" t="s">
        <v>824</v>
      </c>
      <c r="F142" s="883" t="s">
        <v>1584</v>
      </c>
      <c r="G142" s="884">
        <v>-29020</v>
      </c>
      <c r="H142" s="888">
        <v>43802</v>
      </c>
      <c r="I142" s="883" t="s">
        <v>1840</v>
      </c>
      <c r="J142" s="885">
        <v>43802</v>
      </c>
      <c r="K142" s="885">
        <v>43802</v>
      </c>
      <c r="L142" s="883">
        <v>29020</v>
      </c>
      <c r="M142" s="886">
        <v>2.1</v>
      </c>
      <c r="N142" s="883" t="s">
        <v>1586</v>
      </c>
      <c r="O142" s="883" t="s">
        <v>1587</v>
      </c>
      <c r="P142" s="883">
        <v>12</v>
      </c>
      <c r="Q142" s="883">
        <v>0</v>
      </c>
      <c r="R142" s="883">
        <v>2019</v>
      </c>
      <c r="S142" s="886">
        <v>-60942</v>
      </c>
    </row>
    <row r="143" spans="1:24" s="396" customFormat="1" x14ac:dyDescent="0.25">
      <c r="A143" s="883" t="s">
        <v>1846</v>
      </c>
      <c r="B143" s="883" t="s">
        <v>1581</v>
      </c>
      <c r="C143" s="883" t="s">
        <v>1582</v>
      </c>
      <c r="D143" s="883" t="s">
        <v>1633</v>
      </c>
      <c r="E143" s="883" t="s">
        <v>824</v>
      </c>
      <c r="F143" s="883" t="s">
        <v>1584</v>
      </c>
      <c r="G143" s="884">
        <v>29340</v>
      </c>
      <c r="H143" s="888">
        <v>43806</v>
      </c>
      <c r="I143" s="883" t="s">
        <v>1847</v>
      </c>
      <c r="J143" s="885">
        <v>43806</v>
      </c>
      <c r="K143" s="885">
        <v>43806</v>
      </c>
      <c r="L143" s="883">
        <v>0</v>
      </c>
      <c r="M143" s="886">
        <v>2.1</v>
      </c>
      <c r="N143" s="883" t="s">
        <v>1586</v>
      </c>
      <c r="O143" s="883" t="s">
        <v>1587</v>
      </c>
      <c r="P143" s="883">
        <v>12</v>
      </c>
      <c r="Q143" s="883">
        <v>0</v>
      </c>
      <c r="R143" s="883">
        <v>2019</v>
      </c>
      <c r="S143" s="886">
        <v>61614</v>
      </c>
    </row>
    <row r="144" spans="1:24" s="396" customFormat="1" x14ac:dyDescent="0.25">
      <c r="A144" s="883" t="s">
        <v>1846</v>
      </c>
      <c r="B144" s="883" t="s">
        <v>1581</v>
      </c>
      <c r="C144" s="883" t="s">
        <v>1582</v>
      </c>
      <c r="D144" s="883" t="s">
        <v>1633</v>
      </c>
      <c r="E144" s="883" t="s">
        <v>824</v>
      </c>
      <c r="F144" s="883" t="s">
        <v>1584</v>
      </c>
      <c r="G144" s="884">
        <v>-29340</v>
      </c>
      <c r="H144" s="888">
        <v>43806</v>
      </c>
      <c r="I144" s="883" t="s">
        <v>1848</v>
      </c>
      <c r="J144" s="885">
        <v>43806</v>
      </c>
      <c r="K144" s="885">
        <v>43806</v>
      </c>
      <c r="L144" s="883">
        <v>29340</v>
      </c>
      <c r="M144" s="886">
        <v>2.1</v>
      </c>
      <c r="N144" s="883" t="s">
        <v>1586</v>
      </c>
      <c r="O144" s="883" t="s">
        <v>1587</v>
      </c>
      <c r="P144" s="883">
        <v>12</v>
      </c>
      <c r="Q144" s="883">
        <v>0</v>
      </c>
      <c r="R144" s="883">
        <v>2019</v>
      </c>
      <c r="S144" s="886">
        <v>-61614</v>
      </c>
    </row>
    <row r="145" spans="1:24" s="396" customFormat="1" x14ac:dyDescent="0.25">
      <c r="A145" s="883" t="s">
        <v>1853</v>
      </c>
      <c r="B145" s="883" t="s">
        <v>1581</v>
      </c>
      <c r="C145" s="883" t="s">
        <v>1582</v>
      </c>
      <c r="D145" s="883" t="s">
        <v>1633</v>
      </c>
      <c r="E145" s="883" t="s">
        <v>824</v>
      </c>
      <c r="F145" s="883" t="s">
        <v>1584</v>
      </c>
      <c r="G145" s="884">
        <v>37560</v>
      </c>
      <c r="H145" s="888">
        <v>43809</v>
      </c>
      <c r="I145" s="883" t="s">
        <v>1854</v>
      </c>
      <c r="J145" s="885">
        <v>43809</v>
      </c>
      <c r="K145" s="885">
        <v>43809</v>
      </c>
      <c r="L145" s="883">
        <v>0</v>
      </c>
      <c r="M145" s="886">
        <v>2.1</v>
      </c>
      <c r="N145" s="883" t="s">
        <v>1586</v>
      </c>
      <c r="O145" s="883" t="s">
        <v>1587</v>
      </c>
      <c r="P145" s="883">
        <v>12</v>
      </c>
      <c r="Q145" s="883">
        <v>0</v>
      </c>
      <c r="R145" s="883">
        <v>2019</v>
      </c>
      <c r="S145" s="886">
        <v>78876</v>
      </c>
      <c r="V145" s="897">
        <f>G147+G148</f>
        <v>33511</v>
      </c>
      <c r="W145" s="897">
        <f>V145-57389</f>
        <v>-23878</v>
      </c>
      <c r="X145" s="396" t="s">
        <v>1870</v>
      </c>
    </row>
    <row r="146" spans="1:24" s="396" customFormat="1" x14ac:dyDescent="0.25">
      <c r="A146" s="883" t="s">
        <v>1853</v>
      </c>
      <c r="B146" s="883" t="s">
        <v>1581</v>
      </c>
      <c r="C146" s="883" t="s">
        <v>1582</v>
      </c>
      <c r="D146" s="883" t="s">
        <v>1633</v>
      </c>
      <c r="E146" s="883" t="s">
        <v>824</v>
      </c>
      <c r="F146" s="883" t="s">
        <v>1584</v>
      </c>
      <c r="G146" s="884">
        <v>-37560</v>
      </c>
      <c r="H146" s="888">
        <v>43809</v>
      </c>
      <c r="I146" s="883" t="s">
        <v>1855</v>
      </c>
      <c r="J146" s="885">
        <v>43809</v>
      </c>
      <c r="K146" s="885">
        <v>43809</v>
      </c>
      <c r="L146" s="883">
        <v>37560</v>
      </c>
      <c r="M146" s="886">
        <v>2.1</v>
      </c>
      <c r="N146" s="883" t="s">
        <v>1586</v>
      </c>
      <c r="O146" s="883" t="s">
        <v>1587</v>
      </c>
      <c r="P146" s="883">
        <v>12</v>
      </c>
      <c r="Q146" s="883">
        <v>0</v>
      </c>
      <c r="R146" s="883">
        <v>2019</v>
      </c>
      <c r="S146" s="886">
        <v>-78876</v>
      </c>
    </row>
    <row r="147" spans="1:24" s="396" customFormat="1" x14ac:dyDescent="0.25">
      <c r="A147" s="883" t="s">
        <v>1851</v>
      </c>
      <c r="B147" s="883" t="s">
        <v>1581</v>
      </c>
      <c r="C147" s="883" t="s">
        <v>1582</v>
      </c>
      <c r="D147" s="883" t="s">
        <v>1583</v>
      </c>
      <c r="E147" s="883" t="s">
        <v>577</v>
      </c>
      <c r="F147" s="883" t="s">
        <v>1584</v>
      </c>
      <c r="G147" s="884">
        <v>26940</v>
      </c>
      <c r="H147" s="888">
        <v>43809</v>
      </c>
      <c r="I147" s="883" t="s">
        <v>1852</v>
      </c>
      <c r="J147" s="885">
        <v>43809</v>
      </c>
      <c r="K147" s="885">
        <v>43809</v>
      </c>
      <c r="L147" s="883">
        <v>0</v>
      </c>
      <c r="M147" s="886">
        <v>2.25</v>
      </c>
      <c r="N147" s="883" t="s">
        <v>1586</v>
      </c>
      <c r="O147" s="883" t="s">
        <v>1587</v>
      </c>
      <c r="P147" s="883">
        <v>12</v>
      </c>
      <c r="Q147" s="883" t="e">
        <v>#N/A</v>
      </c>
      <c r="R147" s="883">
        <v>2019</v>
      </c>
      <c r="S147" s="886">
        <v>60615</v>
      </c>
    </row>
    <row r="148" spans="1:24" s="396" customFormat="1" x14ac:dyDescent="0.25">
      <c r="A148" s="883" t="s">
        <v>1866</v>
      </c>
      <c r="B148" s="883" t="s">
        <v>1654</v>
      </c>
      <c r="C148" s="883" t="s">
        <v>1582</v>
      </c>
      <c r="D148" s="883" t="s">
        <v>1759</v>
      </c>
      <c r="E148" s="883" t="s">
        <v>577</v>
      </c>
      <c r="F148" s="883" t="s">
        <v>1584</v>
      </c>
      <c r="G148" s="884">
        <v>6571</v>
      </c>
      <c r="H148" s="888">
        <v>43819</v>
      </c>
      <c r="I148" s="883" t="s">
        <v>1867</v>
      </c>
      <c r="J148" s="885">
        <v>43819</v>
      </c>
      <c r="K148" s="885">
        <v>43819</v>
      </c>
      <c r="L148" s="883">
        <v>0</v>
      </c>
      <c r="M148" s="886">
        <v>2.25</v>
      </c>
      <c r="N148" s="883" t="s">
        <v>1586</v>
      </c>
      <c r="O148" s="883" t="s">
        <v>1587</v>
      </c>
      <c r="P148" s="883">
        <v>12</v>
      </c>
      <c r="Q148" s="883" t="e">
        <v>#N/A</v>
      </c>
      <c r="R148" s="883">
        <v>2019</v>
      </c>
      <c r="S148" s="886">
        <v>14784.75</v>
      </c>
    </row>
    <row r="149" spans="1:24" s="396" customFormat="1" x14ac:dyDescent="0.25">
      <c r="A149" s="883" t="s">
        <v>1841</v>
      </c>
      <c r="B149" s="883" t="s">
        <v>1581</v>
      </c>
      <c r="C149" s="883" t="s">
        <v>1582</v>
      </c>
      <c r="D149" s="883" t="s">
        <v>1842</v>
      </c>
      <c r="E149" s="883" t="s">
        <v>1706</v>
      </c>
      <c r="F149" s="883" t="s">
        <v>1584</v>
      </c>
      <c r="G149" s="884">
        <v>29020</v>
      </c>
      <c r="H149" s="888">
        <v>43802</v>
      </c>
      <c r="I149" s="883" t="s">
        <v>1843</v>
      </c>
      <c r="J149" s="885">
        <v>43802</v>
      </c>
      <c r="K149" s="885">
        <v>43802</v>
      </c>
      <c r="L149" s="883">
        <v>0</v>
      </c>
      <c r="M149" s="886">
        <v>2.2000000000000002</v>
      </c>
      <c r="N149" s="883" t="s">
        <v>1586</v>
      </c>
      <c r="O149" s="883" t="s">
        <v>1587</v>
      </c>
      <c r="P149" s="883">
        <v>12</v>
      </c>
      <c r="Q149" s="883" t="e">
        <v>#N/A</v>
      </c>
      <c r="R149" s="883">
        <v>2019</v>
      </c>
      <c r="S149" s="886">
        <v>63844.000000000007</v>
      </c>
    </row>
    <row r="150" spans="1:24" s="396" customFormat="1" x14ac:dyDescent="0.25">
      <c r="A150" s="883" t="s">
        <v>1849</v>
      </c>
      <c r="B150" s="883" t="s">
        <v>1581</v>
      </c>
      <c r="C150" s="883" t="s">
        <v>1582</v>
      </c>
      <c r="D150" s="883" t="s">
        <v>1842</v>
      </c>
      <c r="E150" s="883" t="s">
        <v>1706</v>
      </c>
      <c r="F150" s="883" t="s">
        <v>1584</v>
      </c>
      <c r="G150" s="884">
        <v>29340</v>
      </c>
      <c r="H150" s="888">
        <v>43806</v>
      </c>
      <c r="I150" s="883" t="s">
        <v>1850</v>
      </c>
      <c r="J150" s="885">
        <v>43806</v>
      </c>
      <c r="K150" s="885">
        <v>43806</v>
      </c>
      <c r="L150" s="883">
        <v>0</v>
      </c>
      <c r="M150" s="886">
        <v>2.2000000000000002</v>
      </c>
      <c r="N150" s="883" t="s">
        <v>1586</v>
      </c>
      <c r="O150" s="883" t="s">
        <v>1587</v>
      </c>
      <c r="P150" s="883">
        <v>12</v>
      </c>
      <c r="Q150" s="883" t="e">
        <v>#N/A</v>
      </c>
      <c r="R150" s="883">
        <v>2019</v>
      </c>
      <c r="S150" s="886">
        <v>64548.000000000007</v>
      </c>
    </row>
    <row r="151" spans="1:24" s="396" customFormat="1" x14ac:dyDescent="0.25">
      <c r="A151" s="883" t="s">
        <v>1856</v>
      </c>
      <c r="B151" s="883" t="s">
        <v>1581</v>
      </c>
      <c r="C151" s="883" t="s">
        <v>1582</v>
      </c>
      <c r="D151" s="883" t="s">
        <v>1842</v>
      </c>
      <c r="E151" s="883" t="s">
        <v>1706</v>
      </c>
      <c r="F151" s="883" t="s">
        <v>1584</v>
      </c>
      <c r="G151" s="884">
        <v>37560</v>
      </c>
      <c r="H151" s="888">
        <v>43809</v>
      </c>
      <c r="I151" s="883" t="s">
        <v>1857</v>
      </c>
      <c r="J151" s="885">
        <v>43809</v>
      </c>
      <c r="K151" s="885">
        <v>43809</v>
      </c>
      <c r="L151" s="883">
        <v>0</v>
      </c>
      <c r="M151" s="886">
        <v>2.2000000000000002</v>
      </c>
      <c r="N151" s="883" t="s">
        <v>1586</v>
      </c>
      <c r="O151" s="883" t="s">
        <v>1587</v>
      </c>
      <c r="P151" s="883">
        <v>12</v>
      </c>
      <c r="Q151" s="883" t="e">
        <v>#N/A</v>
      </c>
      <c r="R151" s="883">
        <v>2019</v>
      </c>
      <c r="S151" s="886">
        <v>82632</v>
      </c>
    </row>
    <row r="152" spans="1:24" s="396" customFormat="1" x14ac:dyDescent="0.25">
      <c r="A152" s="883" t="s">
        <v>1860</v>
      </c>
      <c r="B152" s="883" t="s">
        <v>1581</v>
      </c>
      <c r="C152" s="883" t="s">
        <v>1582</v>
      </c>
      <c r="D152" s="883" t="s">
        <v>1842</v>
      </c>
      <c r="E152" s="883" t="s">
        <v>1706</v>
      </c>
      <c r="F152" s="883" t="s">
        <v>1584</v>
      </c>
      <c r="G152" s="884">
        <v>8020</v>
      </c>
      <c r="H152" s="888">
        <v>43815</v>
      </c>
      <c r="I152" s="883" t="s">
        <v>1861</v>
      </c>
      <c r="J152" s="885">
        <v>43815</v>
      </c>
      <c r="K152" s="885">
        <v>43815</v>
      </c>
      <c r="L152" s="883">
        <v>0</v>
      </c>
      <c r="M152" s="886">
        <v>2.2000000000000002</v>
      </c>
      <c r="N152" s="883" t="s">
        <v>1586</v>
      </c>
      <c r="O152" s="883" t="s">
        <v>1587</v>
      </c>
      <c r="P152" s="883">
        <v>12</v>
      </c>
      <c r="Q152" s="883" t="e">
        <v>#N/A</v>
      </c>
      <c r="R152" s="883">
        <v>2019</v>
      </c>
      <c r="S152" s="886">
        <v>17644</v>
      </c>
    </row>
    <row r="153" spans="1:24" s="396" customFormat="1" x14ac:dyDescent="0.25">
      <c r="A153" s="883" t="s">
        <v>1862</v>
      </c>
      <c r="B153" s="883" t="s">
        <v>1581</v>
      </c>
      <c r="C153" s="883" t="s">
        <v>1582</v>
      </c>
      <c r="D153" s="883" t="s">
        <v>1842</v>
      </c>
      <c r="E153" s="883" t="s">
        <v>1706</v>
      </c>
      <c r="F153" s="883" t="s">
        <v>1584</v>
      </c>
      <c r="G153" s="884">
        <v>23869</v>
      </c>
      <c r="H153" s="888">
        <v>43815</v>
      </c>
      <c r="I153" s="883" t="s">
        <v>1863</v>
      </c>
      <c r="J153" s="885">
        <v>43815</v>
      </c>
      <c r="K153" s="885">
        <v>43815</v>
      </c>
      <c r="L153" s="883">
        <v>0</v>
      </c>
      <c r="M153" s="886">
        <v>2.2000000000000002</v>
      </c>
      <c r="N153" s="883" t="s">
        <v>1586</v>
      </c>
      <c r="O153" s="883" t="s">
        <v>1587</v>
      </c>
      <c r="P153" s="883">
        <v>12</v>
      </c>
      <c r="Q153" s="883" t="e">
        <v>#N/A</v>
      </c>
      <c r="R153" s="883">
        <v>2019</v>
      </c>
      <c r="S153" s="886">
        <v>52511.8</v>
      </c>
    </row>
    <row r="154" spans="1:24" s="396" customFormat="1" x14ac:dyDescent="0.25">
      <c r="A154" s="883" t="s">
        <v>1844</v>
      </c>
      <c r="B154" s="883" t="s">
        <v>1581</v>
      </c>
      <c r="C154" s="883" t="s">
        <v>1582</v>
      </c>
      <c r="D154" s="883" t="s">
        <v>1624</v>
      </c>
      <c r="E154" s="883" t="s">
        <v>1625</v>
      </c>
      <c r="F154" s="883" t="s">
        <v>1584</v>
      </c>
      <c r="G154" s="884">
        <v>13680</v>
      </c>
      <c r="H154" s="888">
        <v>43805</v>
      </c>
      <c r="I154" s="883" t="s">
        <v>1845</v>
      </c>
      <c r="J154" s="885">
        <v>43805</v>
      </c>
      <c r="K154" s="885">
        <v>43805</v>
      </c>
      <c r="L154" s="883">
        <v>0</v>
      </c>
      <c r="M154" s="886">
        <v>2.25</v>
      </c>
      <c r="N154" s="883" t="s">
        <v>1586</v>
      </c>
      <c r="O154" s="883" t="s">
        <v>1587</v>
      </c>
      <c r="P154" s="883">
        <v>12</v>
      </c>
      <c r="Q154" s="883" t="e">
        <v>#N/A</v>
      </c>
      <c r="R154" s="883">
        <v>2019</v>
      </c>
      <c r="S154" s="886">
        <v>30780</v>
      </c>
    </row>
    <row r="155" spans="1:24" s="396" customFormat="1" x14ac:dyDescent="0.25">
      <c r="A155" s="883" t="s">
        <v>1858</v>
      </c>
      <c r="B155" s="883" t="s">
        <v>1581</v>
      </c>
      <c r="C155" s="883" t="s">
        <v>1582</v>
      </c>
      <c r="D155" s="883" t="s">
        <v>1624</v>
      </c>
      <c r="E155" s="883" t="s">
        <v>1625</v>
      </c>
      <c r="F155" s="883" t="s">
        <v>1584</v>
      </c>
      <c r="G155" s="884">
        <v>13440</v>
      </c>
      <c r="H155" s="888">
        <v>43813</v>
      </c>
      <c r="I155" s="883" t="s">
        <v>1859</v>
      </c>
      <c r="J155" s="885">
        <v>43813</v>
      </c>
      <c r="K155" s="885">
        <v>43813</v>
      </c>
      <c r="L155" s="883">
        <v>0</v>
      </c>
      <c r="M155" s="886">
        <v>2.25</v>
      </c>
      <c r="N155" s="883" t="s">
        <v>1586</v>
      </c>
      <c r="O155" s="883" t="s">
        <v>1587</v>
      </c>
      <c r="P155" s="883">
        <v>12</v>
      </c>
      <c r="Q155" s="883" t="e">
        <v>#N/A</v>
      </c>
      <c r="R155" s="883">
        <v>2019</v>
      </c>
      <c r="S155" s="886">
        <v>30240</v>
      </c>
    </row>
    <row r="156" spans="1:24" s="396" customFormat="1" x14ac:dyDescent="0.25">
      <c r="A156" s="883" t="s">
        <v>1864</v>
      </c>
      <c r="B156" s="883" t="s">
        <v>1654</v>
      </c>
      <c r="C156" s="883" t="s">
        <v>1582</v>
      </c>
      <c r="D156" s="883" t="s">
        <v>1719</v>
      </c>
      <c r="E156" s="883" t="s">
        <v>1600</v>
      </c>
      <c r="F156" s="883" t="s">
        <v>1584</v>
      </c>
      <c r="G156" s="884">
        <v>82000</v>
      </c>
      <c r="H156" s="888">
        <v>43817</v>
      </c>
      <c r="I156" s="883" t="s">
        <v>1865</v>
      </c>
      <c r="J156" s="885">
        <v>43817</v>
      </c>
      <c r="K156" s="885">
        <v>43817</v>
      </c>
      <c r="L156" s="883">
        <v>0</v>
      </c>
      <c r="M156" s="886">
        <v>2.2000000000000002</v>
      </c>
      <c r="N156" s="883" t="s">
        <v>1586</v>
      </c>
      <c r="O156" s="883" t="s">
        <v>1587</v>
      </c>
      <c r="P156" s="883">
        <v>12</v>
      </c>
      <c r="Q156" s="883" t="e">
        <v>#N/A</v>
      </c>
      <c r="R156" s="883">
        <v>2019</v>
      </c>
      <c r="S156" s="886">
        <v>180400.00000000003</v>
      </c>
    </row>
    <row r="157" spans="1:24" x14ac:dyDescent="0.25">
      <c r="A157" s="894"/>
      <c r="B157" s="894"/>
      <c r="C157" s="894"/>
      <c r="D157" s="894"/>
      <c r="E157" s="894"/>
      <c r="F157" s="894"/>
      <c r="G157" s="896">
        <f>SUM(G141:G156)</f>
        <v>270440</v>
      </c>
      <c r="H157" s="895"/>
      <c r="I157" s="894"/>
      <c r="J157" s="894"/>
      <c r="K157" s="894"/>
      <c r="L157" s="894"/>
      <c r="M157" s="894"/>
      <c r="N157" s="894"/>
      <c r="O157" s="894"/>
      <c r="P157" s="894"/>
      <c r="Q157" s="894"/>
      <c r="R157" s="894"/>
      <c r="S157" s="894"/>
      <c r="V157" s="70">
        <f>G157-W145</f>
        <v>294318</v>
      </c>
    </row>
    <row r="160" spans="1:24" x14ac:dyDescent="0.25">
      <c r="G160" s="529">
        <f>G157+G140+G127+G112+G99+G91+G80+G65+G52+G41+G29+G12</f>
        <v>3308936.2149999999</v>
      </c>
    </row>
  </sheetData>
  <sortState xmlns:xlrd2="http://schemas.microsoft.com/office/spreadsheetml/2017/richdata2" ref="A141:S156">
    <sortCondition ref="D141:D156"/>
  </sortState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G13"/>
  <sheetViews>
    <sheetView workbookViewId="0">
      <selection activeCell="D8" sqref="D8"/>
    </sheetView>
  </sheetViews>
  <sheetFormatPr baseColWidth="10" defaultRowHeight="15" x14ac:dyDescent="0.25"/>
  <sheetData>
    <row r="1" spans="1:7" x14ac:dyDescent="0.25">
      <c r="B1" t="s">
        <v>1872</v>
      </c>
      <c r="C1" t="s">
        <v>596</v>
      </c>
      <c r="D1" t="s">
        <v>577</v>
      </c>
      <c r="E1" t="s">
        <v>46</v>
      </c>
    </row>
    <row r="2" spans="1:7" x14ac:dyDescent="0.25">
      <c r="A2" s="763">
        <v>43466</v>
      </c>
      <c r="B2" s="70">
        <v>-1861.05</v>
      </c>
      <c r="C2" s="70">
        <v>-4349.47</v>
      </c>
      <c r="D2" s="70"/>
      <c r="E2" s="70"/>
    </row>
    <row r="3" spans="1:7" x14ac:dyDescent="0.25">
      <c r="A3" s="763">
        <v>43497</v>
      </c>
      <c r="B3" s="70">
        <v>-6194.27</v>
      </c>
      <c r="C3" s="70"/>
      <c r="D3" s="70"/>
      <c r="E3" s="70"/>
    </row>
    <row r="4" spans="1:7" x14ac:dyDescent="0.25">
      <c r="A4" s="763">
        <v>43586</v>
      </c>
      <c r="B4" s="70">
        <v>4974</v>
      </c>
      <c r="C4" s="70"/>
      <c r="D4" s="70"/>
      <c r="E4" s="70"/>
    </row>
    <row r="5" spans="1:7" x14ac:dyDescent="0.25">
      <c r="A5" s="763">
        <v>43647</v>
      </c>
      <c r="B5" s="70"/>
      <c r="C5" s="70"/>
      <c r="D5" s="898">
        <v>-10660</v>
      </c>
      <c r="E5" s="70"/>
    </row>
    <row r="6" spans="1:7" x14ac:dyDescent="0.25">
      <c r="A6" s="763">
        <v>43709</v>
      </c>
      <c r="B6" s="70"/>
      <c r="C6" s="70"/>
      <c r="D6" s="70"/>
      <c r="E6" s="70">
        <v>-28240</v>
      </c>
    </row>
    <row r="7" spans="1:7" x14ac:dyDescent="0.25">
      <c r="A7" s="763">
        <v>43770</v>
      </c>
      <c r="B7" s="70"/>
      <c r="C7" s="70"/>
      <c r="D7" s="70"/>
      <c r="E7" s="70">
        <v>-20000</v>
      </c>
    </row>
    <row r="8" spans="1:7" x14ac:dyDescent="0.25">
      <c r="A8" s="763">
        <v>43800</v>
      </c>
      <c r="B8" s="70"/>
      <c r="C8" s="70"/>
      <c r="D8" s="899">
        <v>-23878</v>
      </c>
      <c r="E8" s="70"/>
    </row>
    <row r="9" spans="1:7" x14ac:dyDescent="0.25">
      <c r="B9" s="70">
        <f>SUM(B2:B8)</f>
        <v>-3081.3200000000006</v>
      </c>
      <c r="C9" s="70">
        <f t="shared" ref="C9:E9" si="0">SUM(C2:C8)</f>
        <v>-4349.47</v>
      </c>
      <c r="D9" s="70">
        <f t="shared" si="0"/>
        <v>-34538</v>
      </c>
      <c r="E9" s="70">
        <f t="shared" si="0"/>
        <v>-48240</v>
      </c>
      <c r="F9" s="529">
        <f>SUM(B9:E9)</f>
        <v>-90208.790000000008</v>
      </c>
      <c r="G9">
        <v>40256</v>
      </c>
    </row>
    <row r="11" spans="1:7" x14ac:dyDescent="0.25">
      <c r="F11" s="70">
        <f>+F9+3398915</f>
        <v>3308706.21</v>
      </c>
    </row>
    <row r="12" spans="1:7" x14ac:dyDescent="0.25">
      <c r="F12">
        <v>3308936.22</v>
      </c>
    </row>
    <row r="13" spans="1:7" x14ac:dyDescent="0.25">
      <c r="F13" s="70">
        <f>+F12-F11</f>
        <v>230.01000000024214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M53"/>
  <sheetViews>
    <sheetView zoomScaleNormal="100" workbookViewId="0">
      <selection activeCell="Q35" sqref="Q35"/>
    </sheetView>
  </sheetViews>
  <sheetFormatPr baseColWidth="10" defaultRowHeight="15" x14ac:dyDescent="0.25"/>
  <cols>
    <col min="1" max="1" width="10.140625" bestFit="1" customWidth="1"/>
    <col min="2" max="2" width="16.42578125" bestFit="1" customWidth="1"/>
    <col min="3" max="3" width="3.42578125" bestFit="1" customWidth="1"/>
    <col min="4" max="4" width="9.7109375" customWidth="1"/>
    <col min="5" max="5" width="5.7109375" bestFit="1" customWidth="1"/>
    <col min="6" max="6" width="12.28515625" bestFit="1" customWidth="1"/>
    <col min="7" max="7" width="10.85546875" bestFit="1" customWidth="1"/>
    <col min="8" max="8" width="12.28515625" bestFit="1" customWidth="1"/>
    <col min="11" max="11" width="12.42578125" style="28" bestFit="1" customWidth="1"/>
    <col min="13" max="13" width="12.42578125" style="28" bestFit="1" customWidth="1"/>
  </cols>
  <sheetData>
    <row r="1" spans="1:8" x14ac:dyDescent="0.25">
      <c r="A1" s="914" t="s">
        <v>648</v>
      </c>
      <c r="B1" s="914"/>
      <c r="C1" s="914"/>
      <c r="D1" s="914"/>
      <c r="E1" s="914"/>
      <c r="F1" s="914"/>
      <c r="G1" s="914"/>
      <c r="H1" s="914"/>
    </row>
    <row r="2" spans="1:8" ht="15.75" thickBot="1" x14ac:dyDescent="0.3">
      <c r="A2" s="250"/>
      <c r="B2" s="15"/>
      <c r="C2" s="263"/>
      <c r="D2" s="180"/>
      <c r="E2" s="187"/>
      <c r="F2" s="187"/>
      <c r="G2" s="187"/>
      <c r="H2" s="187"/>
    </row>
    <row r="3" spans="1:8" x14ac:dyDescent="0.25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v>0</v>
      </c>
    </row>
    <row r="4" spans="1:8" x14ac:dyDescent="0.25">
      <c r="A4" s="904" t="s">
        <v>244</v>
      </c>
      <c r="B4" s="905"/>
      <c r="C4" s="316" t="s">
        <v>167</v>
      </c>
      <c r="D4" s="906">
        <f>SUM(D12:D27)</f>
        <v>475623</v>
      </c>
      <c r="E4" s="907"/>
      <c r="F4" s="189">
        <f>SUM(F12:F27)</f>
        <v>907495.1</v>
      </c>
      <c r="G4" s="189">
        <f>SUM(G12:G27)</f>
        <v>172424.06900000002</v>
      </c>
      <c r="H4" s="317">
        <f>SUM(H12:H27)</f>
        <v>1079928.7689999999</v>
      </c>
    </row>
    <row r="5" spans="1:8" x14ac:dyDescent="0.25">
      <c r="A5" s="904" t="s">
        <v>245</v>
      </c>
      <c r="B5" s="905"/>
      <c r="C5" s="316" t="s">
        <v>167</v>
      </c>
      <c r="D5" s="906">
        <f>+D28</f>
        <v>646</v>
      </c>
      <c r="E5" s="907"/>
      <c r="F5" s="189">
        <f t="shared" ref="F5:H6" si="0">+F28</f>
        <v>17765</v>
      </c>
      <c r="G5" s="189">
        <f t="shared" si="0"/>
        <v>3375.35</v>
      </c>
      <c r="H5" s="317">
        <f t="shared" si="0"/>
        <v>21140.35</v>
      </c>
    </row>
    <row r="6" spans="1:8" x14ac:dyDescent="0.25">
      <c r="A6" s="904" t="s">
        <v>923</v>
      </c>
      <c r="B6" s="905"/>
      <c r="C6" s="316" t="s">
        <v>167</v>
      </c>
      <c r="D6" s="906">
        <f>+D29</f>
        <v>2557</v>
      </c>
      <c r="E6" s="907"/>
      <c r="F6" s="189">
        <f t="shared" si="0"/>
        <v>25570</v>
      </c>
      <c r="G6" s="189">
        <f t="shared" si="0"/>
        <v>4858.3</v>
      </c>
      <c r="H6" s="317">
        <f t="shared" si="0"/>
        <v>30428.899999999998</v>
      </c>
    </row>
    <row r="7" spans="1:8" x14ac:dyDescent="0.25">
      <c r="A7" s="904" t="s">
        <v>246</v>
      </c>
      <c r="B7" s="905"/>
      <c r="C7" s="316" t="s">
        <v>167</v>
      </c>
      <c r="D7" s="906">
        <f>SUM(D30:D52)</f>
        <v>416055</v>
      </c>
      <c r="E7" s="907"/>
      <c r="F7" s="189">
        <f>SUM(F30:F52)</f>
        <v>1954161.1</v>
      </c>
      <c r="G7" s="189">
        <f>SUM(G30:G52)</f>
        <v>371290.609</v>
      </c>
      <c r="H7" s="317">
        <f>SUM(H30:H52)</f>
        <v>2325465.5090000005</v>
      </c>
    </row>
    <row r="8" spans="1:8" x14ac:dyDescent="0.25">
      <c r="A8" s="908" t="s">
        <v>76</v>
      </c>
      <c r="B8" s="909"/>
      <c r="C8" s="909"/>
      <c r="D8" s="909"/>
      <c r="E8" s="909"/>
      <c r="F8" s="189">
        <f>SUM(F3:F7)</f>
        <v>2904991.2</v>
      </c>
      <c r="G8" s="189">
        <f>SUM(G3:G7)</f>
        <v>551948.32799999998</v>
      </c>
      <c r="H8" s="317">
        <f>SUM(H3:H7)</f>
        <v>3456963.5280000004</v>
      </c>
    </row>
    <row r="9" spans="1:8" x14ac:dyDescent="0.25">
      <c r="A9" s="910" t="s">
        <v>247</v>
      </c>
      <c r="B9" s="911"/>
      <c r="C9" s="911"/>
      <c r="D9" s="911"/>
      <c r="E9" s="911"/>
      <c r="F9" s="911"/>
      <c r="G9" s="911"/>
      <c r="H9" s="317">
        <f>3125154.018+H24+H25+H26+H28+H29+H27</f>
        <v>3456963.5280000004</v>
      </c>
    </row>
    <row r="10" spans="1:8" ht="15.75" thickBot="1" x14ac:dyDescent="0.3">
      <c r="A10" s="912" t="s">
        <v>248</v>
      </c>
      <c r="B10" s="913"/>
      <c r="C10" s="913"/>
      <c r="D10" s="913"/>
      <c r="E10" s="913"/>
      <c r="F10" s="913"/>
      <c r="G10" s="913"/>
      <c r="H10" s="694">
        <f>+H8-H9</f>
        <v>0</v>
      </c>
    </row>
    <row r="11" spans="1:8" ht="15.75" thickBot="1" x14ac:dyDescent="0.3">
      <c r="A11" s="15"/>
      <c r="B11" s="15"/>
      <c r="C11" s="15"/>
      <c r="D11" s="15"/>
      <c r="E11" s="15"/>
      <c r="F11" s="15"/>
      <c r="G11" s="15"/>
      <c r="H11" s="15"/>
    </row>
    <row r="12" spans="1:8" x14ac:dyDescent="0.25">
      <c r="A12" s="541">
        <v>43481</v>
      </c>
      <c r="B12" s="542" t="s">
        <v>768</v>
      </c>
      <c r="C12" s="543" t="s">
        <v>167</v>
      </c>
      <c r="D12" s="544">
        <v>33120</v>
      </c>
      <c r="E12" s="545">
        <v>1.8</v>
      </c>
      <c r="F12" s="545">
        <f t="shared" ref="F12:F28" si="1">+D12*E12</f>
        <v>59616</v>
      </c>
      <c r="G12" s="545">
        <f t="shared" ref="G12:G28" si="2">+F12*0.19</f>
        <v>11327.04</v>
      </c>
      <c r="H12" s="546">
        <f t="shared" ref="H12:H27" si="3">+F12+G12+0.6</f>
        <v>70943.640000000014</v>
      </c>
    </row>
    <row r="13" spans="1:8" x14ac:dyDescent="0.25">
      <c r="A13" s="547">
        <v>43494</v>
      </c>
      <c r="B13" s="548" t="s">
        <v>768</v>
      </c>
      <c r="C13" s="549" t="s">
        <v>167</v>
      </c>
      <c r="D13" s="550">
        <v>35360</v>
      </c>
      <c r="E13" s="551">
        <v>1.8</v>
      </c>
      <c r="F13" s="551">
        <f t="shared" si="1"/>
        <v>63648</v>
      </c>
      <c r="G13" s="551">
        <f t="shared" si="2"/>
        <v>12093.12</v>
      </c>
      <c r="H13" s="552">
        <f t="shared" si="3"/>
        <v>75741.72</v>
      </c>
    </row>
    <row r="14" spans="1:8" x14ac:dyDescent="0.25">
      <c r="A14" s="547">
        <v>43500</v>
      </c>
      <c r="B14" s="548" t="s">
        <v>768</v>
      </c>
      <c r="C14" s="549" t="s">
        <v>167</v>
      </c>
      <c r="D14" s="550">
        <v>37000</v>
      </c>
      <c r="E14" s="551">
        <v>1.8</v>
      </c>
      <c r="F14" s="551">
        <f t="shared" si="1"/>
        <v>66600</v>
      </c>
      <c r="G14" s="551">
        <f t="shared" si="2"/>
        <v>12654</v>
      </c>
      <c r="H14" s="552">
        <f t="shared" si="3"/>
        <v>79254.600000000006</v>
      </c>
    </row>
    <row r="15" spans="1:8" x14ac:dyDescent="0.25">
      <c r="A15" s="547">
        <v>43503</v>
      </c>
      <c r="B15" s="548" t="s">
        <v>768</v>
      </c>
      <c r="C15" s="549" t="s">
        <v>167</v>
      </c>
      <c r="D15" s="550">
        <v>29765</v>
      </c>
      <c r="E15" s="551">
        <v>1.8</v>
      </c>
      <c r="F15" s="551">
        <f t="shared" si="1"/>
        <v>53577</v>
      </c>
      <c r="G15" s="551">
        <f t="shared" si="2"/>
        <v>10179.630000000001</v>
      </c>
      <c r="H15" s="552">
        <f t="shared" si="3"/>
        <v>63757.23</v>
      </c>
    </row>
    <row r="16" spans="1:8" x14ac:dyDescent="0.25">
      <c r="A16" s="547">
        <v>43508</v>
      </c>
      <c r="B16" s="548" t="s">
        <v>768</v>
      </c>
      <c r="C16" s="549" t="s">
        <v>167</v>
      </c>
      <c r="D16" s="550">
        <v>18740</v>
      </c>
      <c r="E16" s="551">
        <v>1.8</v>
      </c>
      <c r="F16" s="551">
        <f t="shared" si="1"/>
        <v>33732</v>
      </c>
      <c r="G16" s="551">
        <f t="shared" si="2"/>
        <v>6409.08</v>
      </c>
      <c r="H16" s="552">
        <f t="shared" si="3"/>
        <v>40141.68</v>
      </c>
    </row>
    <row r="17" spans="1:13" s="396" customFormat="1" x14ac:dyDescent="0.25">
      <c r="A17" s="547">
        <v>43515</v>
      </c>
      <c r="B17" s="548" t="s">
        <v>768</v>
      </c>
      <c r="C17" s="549" t="s">
        <v>167</v>
      </c>
      <c r="D17" s="550">
        <v>32181</v>
      </c>
      <c r="E17" s="551">
        <v>1.8</v>
      </c>
      <c r="F17" s="551">
        <f t="shared" si="1"/>
        <v>57925.8</v>
      </c>
      <c r="G17" s="551">
        <f t="shared" si="2"/>
        <v>11005.902</v>
      </c>
      <c r="H17" s="552">
        <f t="shared" si="3"/>
        <v>68932.302000000011</v>
      </c>
      <c r="K17" s="553"/>
      <c r="M17" s="553"/>
    </row>
    <row r="18" spans="1:13" s="396" customFormat="1" x14ac:dyDescent="0.25">
      <c r="A18" s="547">
        <v>43522</v>
      </c>
      <c r="B18" s="548" t="s">
        <v>768</v>
      </c>
      <c r="C18" s="549" t="s">
        <v>167</v>
      </c>
      <c r="D18" s="550">
        <v>36440</v>
      </c>
      <c r="E18" s="551">
        <v>1.9</v>
      </c>
      <c r="F18" s="551">
        <f t="shared" si="1"/>
        <v>69236</v>
      </c>
      <c r="G18" s="551">
        <f t="shared" si="2"/>
        <v>13154.84</v>
      </c>
      <c r="H18" s="552">
        <f t="shared" si="3"/>
        <v>82391.44</v>
      </c>
      <c r="K18" s="553"/>
      <c r="M18" s="553"/>
    </row>
    <row r="19" spans="1:13" s="396" customFormat="1" x14ac:dyDescent="0.25">
      <c r="A19" s="547">
        <v>43536</v>
      </c>
      <c r="B19" s="548" t="s">
        <v>768</v>
      </c>
      <c r="C19" s="549" t="s">
        <v>167</v>
      </c>
      <c r="D19" s="550">
        <v>30263</v>
      </c>
      <c r="E19" s="551">
        <v>1.9</v>
      </c>
      <c r="F19" s="551">
        <f t="shared" si="1"/>
        <v>57499.7</v>
      </c>
      <c r="G19" s="551">
        <f t="shared" si="2"/>
        <v>10924.942999999999</v>
      </c>
      <c r="H19" s="552">
        <f t="shared" si="3"/>
        <v>68425.243000000002</v>
      </c>
      <c r="K19" s="553"/>
      <c r="M19" s="553"/>
    </row>
    <row r="20" spans="1:13" s="396" customFormat="1" x14ac:dyDescent="0.25">
      <c r="A20" s="547">
        <v>43545</v>
      </c>
      <c r="B20" s="548" t="s">
        <v>768</v>
      </c>
      <c r="C20" s="549" t="s">
        <v>167</v>
      </c>
      <c r="D20" s="550">
        <v>31690</v>
      </c>
      <c r="E20" s="551">
        <v>1.9</v>
      </c>
      <c r="F20" s="551">
        <f t="shared" si="1"/>
        <v>60211</v>
      </c>
      <c r="G20" s="551">
        <f t="shared" si="2"/>
        <v>11440.09</v>
      </c>
      <c r="H20" s="552">
        <f t="shared" si="3"/>
        <v>71651.69</v>
      </c>
      <c r="K20" s="553"/>
      <c r="M20" s="553"/>
    </row>
    <row r="21" spans="1:13" s="396" customFormat="1" x14ac:dyDescent="0.25">
      <c r="A21" s="547">
        <v>43556</v>
      </c>
      <c r="B21" s="548" t="s">
        <v>768</v>
      </c>
      <c r="C21" s="549" t="s">
        <v>167</v>
      </c>
      <c r="D21" s="550">
        <v>29600</v>
      </c>
      <c r="E21" s="551">
        <v>1.9</v>
      </c>
      <c r="F21" s="551">
        <f t="shared" si="1"/>
        <v>56240</v>
      </c>
      <c r="G21" s="551">
        <f t="shared" si="2"/>
        <v>10685.6</v>
      </c>
      <c r="H21" s="552">
        <f t="shared" si="3"/>
        <v>66926.200000000012</v>
      </c>
      <c r="K21" s="553"/>
      <c r="M21" s="553"/>
    </row>
    <row r="22" spans="1:13" s="396" customFormat="1" x14ac:dyDescent="0.25">
      <c r="A22" s="547">
        <v>43576</v>
      </c>
      <c r="B22" s="548" t="s">
        <v>768</v>
      </c>
      <c r="C22" s="549" t="s">
        <v>167</v>
      </c>
      <c r="D22" s="550">
        <v>21704</v>
      </c>
      <c r="E22" s="551">
        <v>1.9</v>
      </c>
      <c r="F22" s="551">
        <f t="shared" si="1"/>
        <v>41237.599999999999</v>
      </c>
      <c r="G22" s="551">
        <f t="shared" si="2"/>
        <v>7835.1440000000002</v>
      </c>
      <c r="H22" s="552">
        <f t="shared" si="3"/>
        <v>49073.343999999997</v>
      </c>
      <c r="K22" s="553"/>
      <c r="M22" s="553"/>
    </row>
    <row r="23" spans="1:13" s="396" customFormat="1" x14ac:dyDescent="0.25">
      <c r="A23" s="547">
        <v>43616</v>
      </c>
      <c r="B23" s="548" t="s">
        <v>768</v>
      </c>
      <c r="C23" s="549" t="s">
        <v>167</v>
      </c>
      <c r="D23" s="550">
        <v>27620</v>
      </c>
      <c r="E23" s="551">
        <v>1.9</v>
      </c>
      <c r="F23" s="551">
        <f t="shared" si="1"/>
        <v>52478</v>
      </c>
      <c r="G23" s="551">
        <f t="shared" si="2"/>
        <v>9970.82</v>
      </c>
      <c r="H23" s="552">
        <f t="shared" si="3"/>
        <v>62449.42</v>
      </c>
      <c r="K23" s="553"/>
      <c r="M23" s="553"/>
    </row>
    <row r="24" spans="1:13" s="396" customFormat="1" x14ac:dyDescent="0.25">
      <c r="A24" s="547">
        <v>43717</v>
      </c>
      <c r="B24" s="548" t="s">
        <v>768</v>
      </c>
      <c r="C24" s="549" t="s">
        <v>167</v>
      </c>
      <c r="D24" s="550">
        <v>24020</v>
      </c>
      <c r="E24" s="551">
        <v>2.1</v>
      </c>
      <c r="F24" s="551">
        <f t="shared" si="1"/>
        <v>50442</v>
      </c>
      <c r="G24" s="551">
        <f t="shared" si="2"/>
        <v>9583.98</v>
      </c>
      <c r="H24" s="552">
        <f t="shared" si="3"/>
        <v>60026.579999999994</v>
      </c>
      <c r="K24" s="553"/>
      <c r="M24" s="553"/>
    </row>
    <row r="25" spans="1:13" s="396" customFormat="1" x14ac:dyDescent="0.25">
      <c r="A25" s="547">
        <v>43721</v>
      </c>
      <c r="B25" s="548" t="s">
        <v>768</v>
      </c>
      <c r="C25" s="549" t="s">
        <v>167</v>
      </c>
      <c r="D25" s="550">
        <v>25520</v>
      </c>
      <c r="E25" s="551">
        <v>2.1</v>
      </c>
      <c r="F25" s="551">
        <f t="shared" si="1"/>
        <v>53592</v>
      </c>
      <c r="G25" s="551">
        <f t="shared" si="2"/>
        <v>10182.48</v>
      </c>
      <c r="H25" s="552">
        <f t="shared" si="3"/>
        <v>63775.079999999994</v>
      </c>
      <c r="K25" s="553"/>
      <c r="M25" s="553"/>
    </row>
    <row r="26" spans="1:13" s="396" customFormat="1" x14ac:dyDescent="0.25">
      <c r="A26" s="547">
        <v>43727</v>
      </c>
      <c r="B26" s="548" t="s">
        <v>768</v>
      </c>
      <c r="C26" s="549" t="s">
        <v>167</v>
      </c>
      <c r="D26" s="550">
        <v>33360</v>
      </c>
      <c r="E26" s="551">
        <v>2.1</v>
      </c>
      <c r="F26" s="551">
        <f t="shared" si="1"/>
        <v>70056</v>
      </c>
      <c r="G26" s="551">
        <f t="shared" si="2"/>
        <v>13310.64</v>
      </c>
      <c r="H26" s="552">
        <f t="shared" si="3"/>
        <v>83367.240000000005</v>
      </c>
      <c r="K26" s="553"/>
      <c r="M26" s="553"/>
    </row>
    <row r="27" spans="1:13" s="396" customFormat="1" x14ac:dyDescent="0.25">
      <c r="A27" s="547">
        <v>43720</v>
      </c>
      <c r="B27" s="548" t="s">
        <v>768</v>
      </c>
      <c r="C27" s="549" t="s">
        <v>167</v>
      </c>
      <c r="D27" s="550">
        <v>29240</v>
      </c>
      <c r="E27" s="551">
        <v>2.1</v>
      </c>
      <c r="F27" s="551">
        <f t="shared" si="1"/>
        <v>61404</v>
      </c>
      <c r="G27" s="551">
        <f t="shared" si="2"/>
        <v>11666.76</v>
      </c>
      <c r="H27" s="552">
        <f t="shared" si="3"/>
        <v>73071.360000000001</v>
      </c>
      <c r="K27" s="553"/>
      <c r="M27" s="553"/>
    </row>
    <row r="28" spans="1:13" s="396" customFormat="1" x14ac:dyDescent="0.25">
      <c r="A28" s="547">
        <v>43717</v>
      </c>
      <c r="B28" s="548" t="s">
        <v>590</v>
      </c>
      <c r="C28" s="549" t="s">
        <v>167</v>
      </c>
      <c r="D28" s="550">
        <v>646</v>
      </c>
      <c r="E28" s="551">
        <v>27.5</v>
      </c>
      <c r="F28" s="551">
        <f t="shared" si="1"/>
        <v>17765</v>
      </c>
      <c r="G28" s="551">
        <f t="shared" si="2"/>
        <v>3375.35</v>
      </c>
      <c r="H28" s="552">
        <f>+F28+G28</f>
        <v>21140.35</v>
      </c>
      <c r="K28" s="553"/>
      <c r="M28" s="553"/>
    </row>
    <row r="29" spans="1:13" s="396" customFormat="1" x14ac:dyDescent="0.25">
      <c r="A29" s="547">
        <v>43727</v>
      </c>
      <c r="B29" s="548" t="s">
        <v>922</v>
      </c>
      <c r="C29" s="549" t="s">
        <v>167</v>
      </c>
      <c r="D29" s="550">
        <f>2360+197</f>
        <v>2557</v>
      </c>
      <c r="E29" s="551">
        <v>10</v>
      </c>
      <c r="F29" s="551">
        <f>+D29*E29</f>
        <v>25570</v>
      </c>
      <c r="G29" s="551">
        <f>+F29*0.19</f>
        <v>4858.3</v>
      </c>
      <c r="H29" s="552">
        <f>+F29+G29+0.6</f>
        <v>30428.899999999998</v>
      </c>
      <c r="K29" s="553"/>
      <c r="M29" s="553"/>
    </row>
    <row r="30" spans="1:13" x14ac:dyDescent="0.25">
      <c r="A30" s="547">
        <v>43498</v>
      </c>
      <c r="B30" s="548" t="s">
        <v>266</v>
      </c>
      <c r="C30" s="549" t="s">
        <v>167</v>
      </c>
      <c r="D30" s="550">
        <v>23480</v>
      </c>
      <c r="E30" s="551">
        <v>4.7</v>
      </c>
      <c r="F30" s="551">
        <f t="shared" ref="F30:F52" si="4">+D30*E30</f>
        <v>110356</v>
      </c>
      <c r="G30" s="551">
        <f t="shared" ref="G30:G52" si="5">+F30*0.19</f>
        <v>20967.64</v>
      </c>
      <c r="H30" s="552">
        <f t="shared" ref="H30:H52" si="6">+F30+G30+0.6</f>
        <v>131324.24000000002</v>
      </c>
    </row>
    <row r="31" spans="1:13" x14ac:dyDescent="0.25">
      <c r="A31" s="547">
        <v>43500</v>
      </c>
      <c r="B31" s="548" t="s">
        <v>266</v>
      </c>
      <c r="C31" s="549" t="s">
        <v>167</v>
      </c>
      <c r="D31" s="550">
        <v>27840</v>
      </c>
      <c r="E31" s="551">
        <v>4.7</v>
      </c>
      <c r="F31" s="551">
        <f t="shared" si="4"/>
        <v>130848</v>
      </c>
      <c r="G31" s="551">
        <f t="shared" si="5"/>
        <v>24861.119999999999</v>
      </c>
      <c r="H31" s="552">
        <f t="shared" si="6"/>
        <v>155709.72</v>
      </c>
    </row>
    <row r="32" spans="1:13" x14ac:dyDescent="0.25">
      <c r="A32" s="547">
        <v>43503</v>
      </c>
      <c r="B32" s="548" t="s">
        <v>266</v>
      </c>
      <c r="C32" s="549" t="s">
        <v>167</v>
      </c>
      <c r="D32" s="550">
        <v>7375</v>
      </c>
      <c r="E32" s="551">
        <v>4.7</v>
      </c>
      <c r="F32" s="551">
        <f t="shared" si="4"/>
        <v>34662.5</v>
      </c>
      <c r="G32" s="551">
        <f t="shared" si="5"/>
        <v>6585.875</v>
      </c>
      <c r="H32" s="552">
        <f t="shared" si="6"/>
        <v>41248.974999999999</v>
      </c>
    </row>
    <row r="33" spans="1:13" s="396" customFormat="1" x14ac:dyDescent="0.25">
      <c r="A33" s="547">
        <v>43515</v>
      </c>
      <c r="B33" s="548" t="s">
        <v>266</v>
      </c>
      <c r="C33" s="549" t="s">
        <v>167</v>
      </c>
      <c r="D33" s="550">
        <v>26198</v>
      </c>
      <c r="E33" s="551">
        <v>4.7</v>
      </c>
      <c r="F33" s="551">
        <f t="shared" si="4"/>
        <v>123130.6</v>
      </c>
      <c r="G33" s="551">
        <f t="shared" si="5"/>
        <v>23394.814000000002</v>
      </c>
      <c r="H33" s="552">
        <f t="shared" si="6"/>
        <v>146526.01400000002</v>
      </c>
      <c r="J33" s="553"/>
      <c r="K33" s="553"/>
      <c r="M33" s="553"/>
    </row>
    <row r="34" spans="1:13" s="396" customFormat="1" x14ac:dyDescent="0.25">
      <c r="A34" s="547">
        <v>43518</v>
      </c>
      <c r="B34" s="548" t="s">
        <v>266</v>
      </c>
      <c r="C34" s="549" t="s">
        <v>167</v>
      </c>
      <c r="D34" s="550">
        <v>23940</v>
      </c>
      <c r="E34" s="551">
        <v>4.7</v>
      </c>
      <c r="F34" s="551">
        <f t="shared" si="4"/>
        <v>112518</v>
      </c>
      <c r="G34" s="551">
        <f t="shared" si="5"/>
        <v>21378.420000000002</v>
      </c>
      <c r="H34" s="552">
        <f t="shared" si="6"/>
        <v>133897.02000000002</v>
      </c>
      <c r="K34" s="553"/>
      <c r="M34" s="553"/>
    </row>
    <row r="35" spans="1:13" s="396" customFormat="1" x14ac:dyDescent="0.25">
      <c r="A35" s="547">
        <v>43515</v>
      </c>
      <c r="B35" s="548" t="s">
        <v>266</v>
      </c>
      <c r="C35" s="549" t="s">
        <v>167</v>
      </c>
      <c r="D35" s="550">
        <v>3299</v>
      </c>
      <c r="E35" s="551">
        <v>4.5</v>
      </c>
      <c r="F35" s="551">
        <f t="shared" si="4"/>
        <v>14845.5</v>
      </c>
      <c r="G35" s="551">
        <f t="shared" si="5"/>
        <v>2820.645</v>
      </c>
      <c r="H35" s="552">
        <f t="shared" si="6"/>
        <v>17666.744999999999</v>
      </c>
      <c r="K35" s="553"/>
      <c r="L35" s="553"/>
      <c r="M35" s="553"/>
    </row>
    <row r="36" spans="1:13" s="396" customFormat="1" x14ac:dyDescent="0.25">
      <c r="A36" s="547">
        <v>43536</v>
      </c>
      <c r="B36" s="548" t="s">
        <v>266</v>
      </c>
      <c r="C36" s="549" t="s">
        <v>167</v>
      </c>
      <c r="D36" s="550">
        <v>3397</v>
      </c>
      <c r="E36" s="551">
        <v>4.7</v>
      </c>
      <c r="F36" s="551">
        <f t="shared" si="4"/>
        <v>15965.900000000001</v>
      </c>
      <c r="G36" s="551">
        <f t="shared" si="5"/>
        <v>3033.5210000000002</v>
      </c>
      <c r="H36" s="552">
        <f t="shared" si="6"/>
        <v>19000.021000000001</v>
      </c>
      <c r="K36" s="553"/>
      <c r="L36" s="553"/>
      <c r="M36" s="553"/>
    </row>
    <row r="37" spans="1:13" s="396" customFormat="1" x14ac:dyDescent="0.25">
      <c r="A37" s="547">
        <v>43540</v>
      </c>
      <c r="B37" s="548" t="s">
        <v>266</v>
      </c>
      <c r="C37" s="549" t="s">
        <v>167</v>
      </c>
      <c r="D37" s="550">
        <v>25020</v>
      </c>
      <c r="E37" s="551">
        <v>4.7</v>
      </c>
      <c r="F37" s="551">
        <f t="shared" si="4"/>
        <v>117594</v>
      </c>
      <c r="G37" s="551">
        <f t="shared" si="5"/>
        <v>22342.86</v>
      </c>
      <c r="H37" s="552">
        <f t="shared" si="6"/>
        <v>139937.46</v>
      </c>
      <c r="K37" s="553"/>
      <c r="M37" s="553"/>
    </row>
    <row r="38" spans="1:13" s="396" customFormat="1" x14ac:dyDescent="0.25">
      <c r="A38" s="547">
        <v>43542</v>
      </c>
      <c r="B38" s="548" t="s">
        <v>266</v>
      </c>
      <c r="C38" s="549" t="s">
        <v>167</v>
      </c>
      <c r="D38" s="550">
        <v>27680</v>
      </c>
      <c r="E38" s="551">
        <v>4.7</v>
      </c>
      <c r="F38" s="551">
        <f t="shared" si="4"/>
        <v>130096</v>
      </c>
      <c r="G38" s="551">
        <f t="shared" si="5"/>
        <v>24718.240000000002</v>
      </c>
      <c r="H38" s="552">
        <f t="shared" si="6"/>
        <v>154814.84</v>
      </c>
      <c r="K38" s="553"/>
      <c r="M38" s="553"/>
    </row>
    <row r="39" spans="1:13" s="396" customFormat="1" x14ac:dyDescent="0.25">
      <c r="A39" s="547">
        <v>43543</v>
      </c>
      <c r="B39" s="548" t="s">
        <v>266</v>
      </c>
      <c r="C39" s="549" t="s">
        <v>167</v>
      </c>
      <c r="D39" s="550">
        <v>26400</v>
      </c>
      <c r="E39" s="551">
        <v>4.7</v>
      </c>
      <c r="F39" s="551">
        <f t="shared" si="4"/>
        <v>124080</v>
      </c>
      <c r="G39" s="551">
        <f t="shared" si="5"/>
        <v>23575.200000000001</v>
      </c>
      <c r="H39" s="552">
        <f t="shared" si="6"/>
        <v>147655.80000000002</v>
      </c>
      <c r="K39" s="553"/>
      <c r="M39" s="553"/>
    </row>
    <row r="40" spans="1:13" s="396" customFormat="1" x14ac:dyDescent="0.25">
      <c r="A40" s="547">
        <v>43545</v>
      </c>
      <c r="B40" s="548" t="s">
        <v>266</v>
      </c>
      <c r="C40" s="549" t="s">
        <v>167</v>
      </c>
      <c r="D40" s="550">
        <v>1410</v>
      </c>
      <c r="E40" s="551">
        <v>4.7</v>
      </c>
      <c r="F40" s="551">
        <f t="shared" si="4"/>
        <v>6627</v>
      </c>
      <c r="G40" s="551">
        <f t="shared" si="5"/>
        <v>1259.1300000000001</v>
      </c>
      <c r="H40" s="552">
        <f t="shared" si="6"/>
        <v>7886.7300000000005</v>
      </c>
      <c r="K40" s="553"/>
      <c r="M40" s="553"/>
    </row>
    <row r="41" spans="1:13" s="396" customFormat="1" x14ac:dyDescent="0.25">
      <c r="A41" s="547">
        <v>43546</v>
      </c>
      <c r="B41" s="548" t="s">
        <v>266</v>
      </c>
      <c r="C41" s="549" t="s">
        <v>167</v>
      </c>
      <c r="D41" s="550">
        <v>14940</v>
      </c>
      <c r="E41" s="551">
        <v>4.7</v>
      </c>
      <c r="F41" s="551">
        <f t="shared" si="4"/>
        <v>70218</v>
      </c>
      <c r="G41" s="551">
        <f t="shared" si="5"/>
        <v>13341.42</v>
      </c>
      <c r="H41" s="552">
        <f t="shared" si="6"/>
        <v>83560.02</v>
      </c>
      <c r="K41" s="553"/>
      <c r="M41" s="553"/>
    </row>
    <row r="42" spans="1:13" s="396" customFormat="1" x14ac:dyDescent="0.25">
      <c r="A42" s="547">
        <v>43546</v>
      </c>
      <c r="B42" s="548" t="s">
        <v>266</v>
      </c>
      <c r="C42" s="549" t="s">
        <v>167</v>
      </c>
      <c r="D42" s="550">
        <v>9860</v>
      </c>
      <c r="E42" s="551">
        <v>4.7</v>
      </c>
      <c r="F42" s="551">
        <f t="shared" si="4"/>
        <v>46342</v>
      </c>
      <c r="G42" s="551">
        <f t="shared" si="5"/>
        <v>8804.98</v>
      </c>
      <c r="H42" s="552">
        <f t="shared" si="6"/>
        <v>55147.579999999994</v>
      </c>
      <c r="K42" s="553"/>
      <c r="M42" s="553"/>
    </row>
    <row r="43" spans="1:13" s="396" customFormat="1" x14ac:dyDescent="0.25">
      <c r="A43" s="547">
        <v>43549</v>
      </c>
      <c r="B43" s="548" t="s">
        <v>266</v>
      </c>
      <c r="C43" s="549" t="s">
        <v>167</v>
      </c>
      <c r="D43" s="550">
        <v>18560</v>
      </c>
      <c r="E43" s="551">
        <v>4.7</v>
      </c>
      <c r="F43" s="551">
        <f t="shared" si="4"/>
        <v>87232</v>
      </c>
      <c r="G43" s="551">
        <f t="shared" si="5"/>
        <v>16574.080000000002</v>
      </c>
      <c r="H43" s="552">
        <f t="shared" si="6"/>
        <v>103806.68000000001</v>
      </c>
      <c r="K43" s="553"/>
      <c r="M43" s="553"/>
    </row>
    <row r="44" spans="1:13" s="396" customFormat="1" x14ac:dyDescent="0.25">
      <c r="A44" s="547">
        <v>43550</v>
      </c>
      <c r="B44" s="548" t="s">
        <v>266</v>
      </c>
      <c r="C44" s="549" t="s">
        <v>167</v>
      </c>
      <c r="D44" s="550">
        <v>11300</v>
      </c>
      <c r="E44" s="551">
        <v>4.7</v>
      </c>
      <c r="F44" s="551">
        <f t="shared" si="4"/>
        <v>53110</v>
      </c>
      <c r="G44" s="551">
        <f t="shared" si="5"/>
        <v>10090.9</v>
      </c>
      <c r="H44" s="552">
        <f t="shared" si="6"/>
        <v>63201.5</v>
      </c>
      <c r="K44" s="553"/>
      <c r="M44" s="553"/>
    </row>
    <row r="45" spans="1:13" s="396" customFormat="1" x14ac:dyDescent="0.25">
      <c r="A45" s="547">
        <v>43553</v>
      </c>
      <c r="B45" s="548" t="s">
        <v>266</v>
      </c>
      <c r="C45" s="549" t="s">
        <v>167</v>
      </c>
      <c r="D45" s="550">
        <v>19980</v>
      </c>
      <c r="E45" s="551">
        <v>4.7</v>
      </c>
      <c r="F45" s="551">
        <f t="shared" si="4"/>
        <v>93906</v>
      </c>
      <c r="G45" s="551">
        <f t="shared" si="5"/>
        <v>17842.14</v>
      </c>
      <c r="H45" s="552">
        <f t="shared" si="6"/>
        <v>111748.74</v>
      </c>
      <c r="K45" s="553"/>
      <c r="M45" s="553"/>
    </row>
    <row r="46" spans="1:13" s="396" customFormat="1" x14ac:dyDescent="0.25">
      <c r="A46" s="547">
        <v>43554</v>
      </c>
      <c r="B46" s="548" t="s">
        <v>266</v>
      </c>
      <c r="C46" s="549" t="s">
        <v>167</v>
      </c>
      <c r="D46" s="550">
        <v>24360</v>
      </c>
      <c r="E46" s="551">
        <v>4.7</v>
      </c>
      <c r="F46" s="551">
        <f t="shared" si="4"/>
        <v>114492</v>
      </c>
      <c r="G46" s="551">
        <f t="shared" si="5"/>
        <v>21753.48</v>
      </c>
      <c r="H46" s="552">
        <f t="shared" si="6"/>
        <v>136246.08000000002</v>
      </c>
      <c r="K46" s="553"/>
      <c r="M46" s="553"/>
    </row>
    <row r="47" spans="1:13" s="396" customFormat="1" x14ac:dyDescent="0.25">
      <c r="A47" s="547">
        <v>43557</v>
      </c>
      <c r="B47" s="548" t="s">
        <v>266</v>
      </c>
      <c r="C47" s="549" t="s">
        <v>167</v>
      </c>
      <c r="D47" s="550">
        <v>22960</v>
      </c>
      <c r="E47" s="551">
        <v>4.7</v>
      </c>
      <c r="F47" s="551">
        <f t="shared" si="4"/>
        <v>107912</v>
      </c>
      <c r="G47" s="551">
        <f t="shared" si="5"/>
        <v>20503.28</v>
      </c>
      <c r="H47" s="552">
        <f t="shared" si="6"/>
        <v>128415.88</v>
      </c>
      <c r="K47" s="553"/>
      <c r="M47" s="553"/>
    </row>
    <row r="48" spans="1:13" s="396" customFormat="1" x14ac:dyDescent="0.25">
      <c r="A48" s="547">
        <v>43559</v>
      </c>
      <c r="B48" s="548" t="s">
        <v>266</v>
      </c>
      <c r="C48" s="549" t="s">
        <v>167</v>
      </c>
      <c r="D48" s="550">
        <v>17280</v>
      </c>
      <c r="E48" s="551">
        <v>4.7</v>
      </c>
      <c r="F48" s="551">
        <f t="shared" si="4"/>
        <v>81216</v>
      </c>
      <c r="G48" s="551">
        <f t="shared" si="5"/>
        <v>15431.04</v>
      </c>
      <c r="H48" s="552">
        <f t="shared" si="6"/>
        <v>96647.640000000014</v>
      </c>
      <c r="K48" s="553"/>
      <c r="M48" s="553"/>
    </row>
    <row r="49" spans="1:13" s="396" customFormat="1" x14ac:dyDescent="0.25">
      <c r="A49" s="547">
        <v>43560</v>
      </c>
      <c r="B49" s="548" t="s">
        <v>266</v>
      </c>
      <c r="C49" s="549" t="s">
        <v>167</v>
      </c>
      <c r="D49" s="550">
        <v>21820</v>
      </c>
      <c r="E49" s="551">
        <v>4.7</v>
      </c>
      <c r="F49" s="551">
        <f t="shared" si="4"/>
        <v>102554</v>
      </c>
      <c r="G49" s="551">
        <f t="shared" si="5"/>
        <v>19485.260000000002</v>
      </c>
      <c r="H49" s="552">
        <f t="shared" si="6"/>
        <v>122039.86000000002</v>
      </c>
      <c r="K49" s="553"/>
      <c r="M49" s="553"/>
    </row>
    <row r="50" spans="1:13" s="396" customFormat="1" x14ac:dyDescent="0.25">
      <c r="A50" s="547">
        <v>43575</v>
      </c>
      <c r="B50" s="548" t="s">
        <v>266</v>
      </c>
      <c r="C50" s="549" t="s">
        <v>167</v>
      </c>
      <c r="D50" s="550">
        <v>25520</v>
      </c>
      <c r="E50" s="551">
        <v>4.7</v>
      </c>
      <c r="F50" s="551">
        <f t="shared" si="4"/>
        <v>119944</v>
      </c>
      <c r="G50" s="551">
        <f t="shared" si="5"/>
        <v>22789.360000000001</v>
      </c>
      <c r="H50" s="552">
        <f t="shared" si="6"/>
        <v>142733.96</v>
      </c>
      <c r="K50" s="553"/>
      <c r="M50" s="553"/>
    </row>
    <row r="51" spans="1:13" s="396" customFormat="1" x14ac:dyDescent="0.25">
      <c r="A51" s="547">
        <v>43577</v>
      </c>
      <c r="B51" s="548" t="s">
        <v>266</v>
      </c>
      <c r="C51" s="549" t="s">
        <v>167</v>
      </c>
      <c r="D51" s="550">
        <v>27060</v>
      </c>
      <c r="E51" s="551">
        <v>4.7</v>
      </c>
      <c r="F51" s="551">
        <f t="shared" si="4"/>
        <v>127182</v>
      </c>
      <c r="G51" s="551">
        <f t="shared" si="5"/>
        <v>24164.58</v>
      </c>
      <c r="H51" s="552">
        <f t="shared" si="6"/>
        <v>151347.18000000002</v>
      </c>
      <c r="K51" s="553"/>
      <c r="M51" s="553"/>
    </row>
    <row r="52" spans="1:13" s="396" customFormat="1" x14ac:dyDescent="0.25">
      <c r="A52" s="547">
        <v>43578</v>
      </c>
      <c r="B52" s="548" t="s">
        <v>266</v>
      </c>
      <c r="C52" s="549" t="s">
        <v>167</v>
      </c>
      <c r="D52" s="550">
        <v>6376</v>
      </c>
      <c r="E52" s="551">
        <v>4.5999999999999996</v>
      </c>
      <c r="F52" s="551">
        <f t="shared" si="4"/>
        <v>29329.599999999999</v>
      </c>
      <c r="G52" s="551">
        <f t="shared" si="5"/>
        <v>5572.6239999999998</v>
      </c>
      <c r="H52" s="552">
        <f t="shared" si="6"/>
        <v>34902.824000000001</v>
      </c>
      <c r="K52" s="553"/>
      <c r="M52" s="553"/>
    </row>
    <row r="53" spans="1:13" ht="15.75" thickBot="1" x14ac:dyDescent="0.3">
      <c r="A53" s="368"/>
      <c r="B53" s="369"/>
      <c r="C53" s="370"/>
      <c r="D53" s="371"/>
      <c r="E53" s="372"/>
      <c r="F53" s="372"/>
      <c r="G53" s="372"/>
      <c r="H53" s="373"/>
    </row>
  </sheetData>
  <mergeCells count="14">
    <mergeCell ref="A10:G10"/>
    <mergeCell ref="A6:B6"/>
    <mergeCell ref="D6:E6"/>
    <mergeCell ref="A7:B7"/>
    <mergeCell ref="D7:E7"/>
    <mergeCell ref="A8:E8"/>
    <mergeCell ref="A9:G9"/>
    <mergeCell ref="A5:B5"/>
    <mergeCell ref="D5:E5"/>
    <mergeCell ref="A1:H1"/>
    <mergeCell ref="A3:B3"/>
    <mergeCell ref="D3:E3"/>
    <mergeCell ref="A4:B4"/>
    <mergeCell ref="D4:E4"/>
  </mergeCells>
  <pageMargins left="0.7" right="0.7" top="0.75" bottom="0.75" header="0.3" footer="0.3"/>
  <pageSetup paperSize="9" orientation="portrait" horizontalDpi="180" verticalDpi="18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U50"/>
  <sheetViews>
    <sheetView workbookViewId="0">
      <selection activeCell="L33" sqref="L33"/>
    </sheetView>
  </sheetViews>
  <sheetFormatPr baseColWidth="10" defaultRowHeight="15" x14ac:dyDescent="0.25"/>
  <cols>
    <col min="1" max="1" width="9" bestFit="1" customWidth="1"/>
    <col min="2" max="2" width="17" bestFit="1" customWidth="1"/>
    <col min="3" max="3" width="3.42578125" bestFit="1" customWidth="1"/>
    <col min="4" max="4" width="7.85546875" bestFit="1" customWidth="1"/>
    <col min="5" max="5" width="4.85546875" bestFit="1" customWidth="1"/>
    <col min="6" max="7" width="10.85546875" bestFit="1" customWidth="1"/>
    <col min="8" max="8" width="11.42578125" bestFit="1" customWidth="1"/>
    <col min="9" max="9" width="9.5703125" bestFit="1" customWidth="1"/>
    <col min="10" max="10" width="11.140625" bestFit="1" customWidth="1"/>
    <col min="11" max="11" width="9" bestFit="1" customWidth="1"/>
    <col min="12" max="12" width="17" bestFit="1" customWidth="1"/>
    <col min="13" max="13" width="3.42578125" bestFit="1" customWidth="1"/>
    <col min="14" max="14" width="7.85546875" bestFit="1" customWidth="1"/>
    <col min="15" max="15" width="4.85546875" bestFit="1" customWidth="1"/>
    <col min="16" max="16" width="9.85546875" bestFit="1" customWidth="1"/>
    <col min="17" max="17" width="8.85546875" bestFit="1" customWidth="1"/>
    <col min="18" max="18" width="9.85546875" bestFit="1" customWidth="1"/>
    <col min="19" max="19" width="9.5703125" bestFit="1" customWidth="1"/>
    <col min="20" max="20" width="9" bestFit="1" customWidth="1"/>
    <col min="21" max="21" width="17" bestFit="1" customWidth="1"/>
    <col min="22" max="22" width="3.42578125" bestFit="1" customWidth="1"/>
    <col min="23" max="23" width="7.85546875" bestFit="1" customWidth="1"/>
    <col min="24" max="24" width="4.85546875" bestFit="1" customWidth="1"/>
    <col min="25" max="25" width="10.85546875" bestFit="1" customWidth="1"/>
    <col min="26" max="26" width="9.85546875" bestFit="1" customWidth="1"/>
    <col min="27" max="27" width="10.85546875" bestFit="1" customWidth="1"/>
  </cols>
  <sheetData>
    <row r="1" spans="1:21" x14ac:dyDescent="0.25">
      <c r="A1" s="914" t="s">
        <v>808</v>
      </c>
      <c r="B1" s="914"/>
      <c r="C1" s="914"/>
      <c r="D1" s="914"/>
      <c r="E1" s="914"/>
      <c r="F1" s="914"/>
      <c r="G1" s="914"/>
      <c r="H1" s="914"/>
      <c r="K1" s="914" t="s">
        <v>809</v>
      </c>
      <c r="L1" s="914"/>
      <c r="M1" s="914"/>
      <c r="N1" s="914"/>
      <c r="O1" s="914"/>
      <c r="P1" s="914"/>
      <c r="Q1" s="914"/>
      <c r="R1" s="914"/>
    </row>
    <row r="2" spans="1:21" ht="15.75" thickBot="1" x14ac:dyDescent="0.3">
      <c r="A2" s="250"/>
      <c r="B2" s="15"/>
      <c r="C2" s="263"/>
      <c r="D2" s="180"/>
      <c r="E2" s="187"/>
      <c r="F2" s="187"/>
      <c r="G2" s="187"/>
      <c r="H2" s="187"/>
      <c r="K2" s="250"/>
      <c r="L2" s="15"/>
      <c r="M2" s="263"/>
      <c r="N2" s="180"/>
      <c r="O2" s="187"/>
      <c r="P2" s="187"/>
      <c r="Q2" s="187"/>
      <c r="R2" s="187"/>
    </row>
    <row r="3" spans="1:21" x14ac:dyDescent="0.25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v>0</v>
      </c>
      <c r="K3" s="915" t="s">
        <v>243</v>
      </c>
      <c r="L3" s="916"/>
      <c r="M3" s="314" t="s">
        <v>167</v>
      </c>
      <c r="N3" s="917">
        <v>0</v>
      </c>
      <c r="O3" s="918"/>
      <c r="P3" s="231">
        <v>0</v>
      </c>
      <c r="Q3" s="231">
        <v>0</v>
      </c>
      <c r="R3" s="315">
        <v>0</v>
      </c>
    </row>
    <row r="4" spans="1:21" x14ac:dyDescent="0.25">
      <c r="A4" s="904" t="s">
        <v>244</v>
      </c>
      <c r="B4" s="905"/>
      <c r="C4" s="316" t="s">
        <v>167</v>
      </c>
      <c r="D4" s="906">
        <f>SUM(D12:D25)</f>
        <v>320351</v>
      </c>
      <c r="E4" s="907"/>
      <c r="F4" s="189">
        <f>SUM(F12:F25)</f>
        <v>624892.75</v>
      </c>
      <c r="G4" s="189">
        <f>SUM(G12:G25)</f>
        <v>119916.91872500001</v>
      </c>
      <c r="H4" s="317">
        <f>SUM(H12:H25)</f>
        <v>751066.39622500015</v>
      </c>
      <c r="K4" s="904" t="s">
        <v>244</v>
      </c>
      <c r="L4" s="905"/>
      <c r="M4" s="316" t="s">
        <v>167</v>
      </c>
      <c r="N4" s="906">
        <f>SUM(N11:N12)</f>
        <v>24440</v>
      </c>
      <c r="O4" s="907"/>
      <c r="P4" s="189">
        <f>SUM(P11:P12)</f>
        <v>47658</v>
      </c>
      <c r="Q4" s="189">
        <f>SUM(Q11:Q12)</f>
        <v>9145.5702000000001</v>
      </c>
      <c r="R4" s="317">
        <f>SUM(P4:Q4)</f>
        <v>56803.570200000002</v>
      </c>
    </row>
    <row r="5" spans="1:21" x14ac:dyDescent="0.25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v>0</v>
      </c>
      <c r="K5" s="904" t="s">
        <v>245</v>
      </c>
      <c r="L5" s="905"/>
      <c r="M5" s="316" t="s">
        <v>167</v>
      </c>
      <c r="N5" s="906">
        <v>0</v>
      </c>
      <c r="O5" s="907"/>
      <c r="P5" s="189">
        <v>0</v>
      </c>
      <c r="Q5" s="189">
        <v>0</v>
      </c>
      <c r="R5" s="317">
        <v>0</v>
      </c>
    </row>
    <row r="6" spans="1:21" x14ac:dyDescent="0.25">
      <c r="A6" s="904" t="s">
        <v>246</v>
      </c>
      <c r="B6" s="905"/>
      <c r="C6" s="316" t="s">
        <v>167</v>
      </c>
      <c r="D6" s="906"/>
      <c r="E6" s="907"/>
      <c r="F6" s="189">
        <v>0</v>
      </c>
      <c r="G6" s="189">
        <v>0</v>
      </c>
      <c r="H6" s="317">
        <v>0</v>
      </c>
      <c r="K6" s="904" t="s">
        <v>246</v>
      </c>
      <c r="L6" s="905"/>
      <c r="M6" s="316" t="s">
        <v>167</v>
      </c>
      <c r="N6" s="906"/>
      <c r="O6" s="907"/>
      <c r="P6" s="189">
        <v>0</v>
      </c>
      <c r="Q6" s="189">
        <v>0</v>
      </c>
      <c r="R6" s="317">
        <v>0</v>
      </c>
    </row>
    <row r="7" spans="1:21" x14ac:dyDescent="0.25">
      <c r="A7" s="908" t="s">
        <v>76</v>
      </c>
      <c r="B7" s="909"/>
      <c r="C7" s="909"/>
      <c r="D7" s="909"/>
      <c r="E7" s="909"/>
      <c r="F7" s="318">
        <f>SUM(F3:F6)</f>
        <v>624892.75</v>
      </c>
      <c r="G7" s="318">
        <f>SUM(G3:G6)</f>
        <v>119916.91872500001</v>
      </c>
      <c r="H7" s="319">
        <f>SUM(H3:H6)</f>
        <v>751066.39622500015</v>
      </c>
      <c r="K7" s="908" t="s">
        <v>76</v>
      </c>
      <c r="L7" s="909"/>
      <c r="M7" s="909"/>
      <c r="N7" s="909"/>
      <c r="O7" s="909"/>
      <c r="P7" s="318">
        <f>SUM(P3:P6)</f>
        <v>47658</v>
      </c>
      <c r="Q7" s="318">
        <f>SUM(Q3:Q6)</f>
        <v>9145.5702000000001</v>
      </c>
      <c r="R7" s="319">
        <f>SUM(R3:R6)</f>
        <v>56803.570200000002</v>
      </c>
    </row>
    <row r="8" spans="1:21" x14ac:dyDescent="0.25">
      <c r="A8" s="910" t="s">
        <v>247</v>
      </c>
      <c r="B8" s="911"/>
      <c r="C8" s="911"/>
      <c r="D8" s="911"/>
      <c r="E8" s="911"/>
      <c r="F8" s="911"/>
      <c r="G8" s="911"/>
      <c r="H8" s="319">
        <f>+H12+H13+H14+H15+H16+H17+H18+H19+H20+H21+35000+45000</f>
        <v>682322.56030000013</v>
      </c>
      <c r="K8" s="910" t="s">
        <v>247</v>
      </c>
      <c r="L8" s="911"/>
      <c r="M8" s="911"/>
      <c r="N8" s="911"/>
      <c r="O8" s="911"/>
      <c r="P8" s="911"/>
      <c r="Q8" s="911"/>
      <c r="R8" s="319">
        <v>56803.57</v>
      </c>
    </row>
    <row r="9" spans="1:21" ht="15.75" thickBot="1" x14ac:dyDescent="0.3">
      <c r="A9" s="910" t="s">
        <v>1226</v>
      </c>
      <c r="B9" s="911"/>
      <c r="C9" s="911"/>
      <c r="D9" s="911"/>
      <c r="E9" s="911"/>
      <c r="F9" s="911"/>
      <c r="G9" s="911"/>
      <c r="H9" s="695">
        <v>70000</v>
      </c>
      <c r="K9" s="912" t="s">
        <v>248</v>
      </c>
      <c r="L9" s="913"/>
      <c r="M9" s="913"/>
      <c r="N9" s="913"/>
      <c r="O9" s="913"/>
      <c r="P9" s="913"/>
      <c r="Q9" s="913"/>
      <c r="R9" s="320">
        <f>+R7-R8</f>
        <v>2.0000000222353265E-4</v>
      </c>
    </row>
    <row r="10" spans="1:21" ht="15.75" thickBot="1" x14ac:dyDescent="0.3">
      <c r="A10" s="912" t="s">
        <v>248</v>
      </c>
      <c r="B10" s="913"/>
      <c r="C10" s="913"/>
      <c r="D10" s="913"/>
      <c r="E10" s="913"/>
      <c r="F10" s="913"/>
      <c r="G10" s="913"/>
      <c r="H10" s="320">
        <f>+H7-H8-H9</f>
        <v>-1256.1640749999788</v>
      </c>
      <c r="K10" s="15"/>
      <c r="L10" s="15"/>
      <c r="M10" s="15"/>
      <c r="N10" s="15"/>
      <c r="O10" s="15"/>
      <c r="P10" s="15"/>
      <c r="Q10" s="15"/>
      <c r="R10" s="15"/>
    </row>
    <row r="11" spans="1:21" s="266" customFormat="1" ht="13.5" thickBot="1" x14ac:dyDescent="0.25">
      <c r="A11" s="15"/>
      <c r="B11" s="15"/>
      <c r="C11" s="15"/>
      <c r="D11" s="15"/>
      <c r="E11" s="15"/>
      <c r="F11" s="15"/>
      <c r="G11" s="15"/>
      <c r="H11" s="15"/>
      <c r="I11" s="272"/>
      <c r="J11" s="432"/>
      <c r="K11" s="510">
        <v>43605</v>
      </c>
      <c r="L11" s="427" t="s">
        <v>174</v>
      </c>
      <c r="M11" s="428" t="s">
        <v>206</v>
      </c>
      <c r="N11" s="429">
        <v>24440</v>
      </c>
      <c r="O11" s="430">
        <v>1.95</v>
      </c>
      <c r="P11" s="430">
        <f>N11*O11</f>
        <v>47658</v>
      </c>
      <c r="Q11" s="430">
        <f>P11*1.01*0.19</f>
        <v>9145.5702000000001</v>
      </c>
      <c r="R11" s="431">
        <f>P11*1.01+Q11+0.6</f>
        <v>57280.750200000002</v>
      </c>
    </row>
    <row r="12" spans="1:21" s="266" customFormat="1" ht="12.75" x14ac:dyDescent="0.25">
      <c r="A12" s="554">
        <v>43472</v>
      </c>
      <c r="B12" s="542" t="s">
        <v>174</v>
      </c>
      <c r="C12" s="543" t="s">
        <v>206</v>
      </c>
      <c r="D12" s="544">
        <v>38260</v>
      </c>
      <c r="E12" s="545">
        <v>1.8</v>
      </c>
      <c r="F12" s="545">
        <f>D12*E12</f>
        <v>68868</v>
      </c>
      <c r="G12" s="545">
        <f t="shared" ref="G12:G24" si="0">F12*1.01*0.19</f>
        <v>13215.769200000002</v>
      </c>
      <c r="H12" s="546">
        <f t="shared" ref="H12:H24" si="1">F12*1.01+G12+0.6</f>
        <v>82773.049200000009</v>
      </c>
      <c r="I12" s="272"/>
      <c r="J12" s="432"/>
      <c r="K12" s="511"/>
      <c r="M12" s="270"/>
      <c r="N12" s="271"/>
      <c r="O12" s="272"/>
      <c r="P12" s="272"/>
      <c r="Q12" s="272"/>
      <c r="R12" s="367"/>
    </row>
    <row r="13" spans="1:21" s="266" customFormat="1" ht="12.75" x14ac:dyDescent="0.25">
      <c r="A13" s="555">
        <v>43481</v>
      </c>
      <c r="B13" s="548" t="s">
        <v>174</v>
      </c>
      <c r="C13" s="549" t="s">
        <v>206</v>
      </c>
      <c r="D13" s="550">
        <v>36640</v>
      </c>
      <c r="E13" s="551">
        <v>1.8</v>
      </c>
      <c r="F13" s="551">
        <f t="shared" ref="F13:F23" si="2">D13*E13</f>
        <v>65952</v>
      </c>
      <c r="G13" s="551">
        <f t="shared" si="0"/>
        <v>12656.188800000002</v>
      </c>
      <c r="H13" s="552">
        <f t="shared" si="1"/>
        <v>79268.308800000013</v>
      </c>
      <c r="I13" s="272"/>
      <c r="J13" s="507"/>
      <c r="K13" s="511"/>
      <c r="M13" s="270"/>
      <c r="N13" s="271"/>
      <c r="O13" s="272"/>
      <c r="P13" s="272"/>
      <c r="Q13" s="272"/>
      <c r="R13" s="367"/>
    </row>
    <row r="14" spans="1:21" s="266" customFormat="1" ht="12.75" x14ac:dyDescent="0.25">
      <c r="A14" s="555">
        <v>43500</v>
      </c>
      <c r="B14" s="548" t="s">
        <v>174</v>
      </c>
      <c r="C14" s="549" t="s">
        <v>206</v>
      </c>
      <c r="D14" s="550">
        <v>34520</v>
      </c>
      <c r="E14" s="551">
        <v>1.8</v>
      </c>
      <c r="F14" s="551">
        <f t="shared" si="2"/>
        <v>62136</v>
      </c>
      <c r="G14" s="551">
        <f t="shared" si="0"/>
        <v>11923.8984</v>
      </c>
      <c r="H14" s="552">
        <f t="shared" si="1"/>
        <v>74681.858400000012</v>
      </c>
      <c r="I14" s="272"/>
      <c r="J14" s="432"/>
      <c r="K14" s="511"/>
      <c r="M14" s="270"/>
      <c r="N14" s="271"/>
      <c r="O14" s="272"/>
      <c r="P14" s="272"/>
      <c r="Q14" s="272"/>
      <c r="R14" s="367"/>
    </row>
    <row r="15" spans="1:21" s="266" customFormat="1" ht="12.75" x14ac:dyDescent="0.25">
      <c r="A15" s="555">
        <v>43524</v>
      </c>
      <c r="B15" s="548" t="s">
        <v>174</v>
      </c>
      <c r="C15" s="549" t="s">
        <v>206</v>
      </c>
      <c r="D15" s="550">
        <v>25680</v>
      </c>
      <c r="E15" s="551">
        <v>1.9</v>
      </c>
      <c r="F15" s="551">
        <f t="shared" si="2"/>
        <v>48792</v>
      </c>
      <c r="G15" s="551">
        <f t="shared" si="0"/>
        <v>9363.1847999999991</v>
      </c>
      <c r="H15" s="552">
        <f t="shared" si="1"/>
        <v>58643.7048</v>
      </c>
      <c r="I15" s="272"/>
      <c r="J15" s="432"/>
      <c r="K15" s="511"/>
      <c r="M15" s="270"/>
      <c r="N15" s="271"/>
      <c r="O15" s="272"/>
      <c r="P15" s="272"/>
      <c r="Q15" s="272"/>
      <c r="R15" s="367"/>
      <c r="U15" s="271"/>
    </row>
    <row r="16" spans="1:21" s="266" customFormat="1" ht="12.75" x14ac:dyDescent="0.25">
      <c r="A16" s="555">
        <v>43529</v>
      </c>
      <c r="B16" s="548" t="s">
        <v>174</v>
      </c>
      <c r="C16" s="549" t="s">
        <v>206</v>
      </c>
      <c r="D16" s="550">
        <v>30200</v>
      </c>
      <c r="E16" s="551">
        <v>1.9</v>
      </c>
      <c r="F16" s="551">
        <f t="shared" si="2"/>
        <v>57380</v>
      </c>
      <c r="G16" s="551">
        <f t="shared" si="0"/>
        <v>11011.222000000002</v>
      </c>
      <c r="H16" s="552">
        <f t="shared" si="1"/>
        <v>68965.622000000003</v>
      </c>
      <c r="I16" s="272"/>
      <c r="J16" s="432"/>
      <c r="K16" s="511"/>
      <c r="M16" s="270"/>
      <c r="N16" s="271"/>
      <c r="O16" s="272"/>
      <c r="P16" s="272"/>
      <c r="Q16" s="272"/>
      <c r="R16" s="367"/>
    </row>
    <row r="17" spans="1:18" s="266" customFormat="1" ht="13.5" thickBot="1" x14ac:dyDescent="0.3">
      <c r="A17" s="555">
        <v>43553</v>
      </c>
      <c r="B17" s="548" t="s">
        <v>174</v>
      </c>
      <c r="C17" s="549" t="s">
        <v>206</v>
      </c>
      <c r="D17" s="550">
        <v>30420</v>
      </c>
      <c r="E17" s="551">
        <v>1.9</v>
      </c>
      <c r="F17" s="551">
        <f t="shared" si="2"/>
        <v>57798</v>
      </c>
      <c r="G17" s="551">
        <f t="shared" si="0"/>
        <v>11091.4362</v>
      </c>
      <c r="H17" s="552">
        <f t="shared" si="1"/>
        <v>69468.016200000013</v>
      </c>
      <c r="I17" s="272"/>
      <c r="J17" s="432"/>
      <c r="K17" s="368"/>
      <c r="L17" s="369"/>
      <c r="M17" s="370"/>
      <c r="N17" s="371"/>
      <c r="O17" s="372"/>
      <c r="P17" s="372"/>
      <c r="Q17" s="372"/>
      <c r="R17" s="373"/>
    </row>
    <row r="18" spans="1:18" s="266" customFormat="1" x14ac:dyDescent="0.25">
      <c r="A18" s="555">
        <v>43577</v>
      </c>
      <c r="B18" s="548" t="s">
        <v>174</v>
      </c>
      <c r="C18" s="549" t="s">
        <v>206</v>
      </c>
      <c r="D18" s="550">
        <v>33220</v>
      </c>
      <c r="E18" s="551">
        <v>1.95</v>
      </c>
      <c r="F18" s="551">
        <f t="shared" si="2"/>
        <v>64779</v>
      </c>
      <c r="G18" s="551">
        <f t="shared" si="0"/>
        <v>12431.090099999999</v>
      </c>
      <c r="H18" s="552">
        <f t="shared" si="1"/>
        <v>77858.480100000001</v>
      </c>
      <c r="J18" s="432"/>
      <c r="K18"/>
      <c r="L18"/>
      <c r="M18"/>
      <c r="N18"/>
      <c r="O18"/>
      <c r="P18"/>
      <c r="Q18"/>
      <c r="R18"/>
    </row>
    <row r="19" spans="1:18" s="266" customFormat="1" x14ac:dyDescent="0.25">
      <c r="A19" s="555">
        <v>43693</v>
      </c>
      <c r="B19" s="548" t="s">
        <v>174</v>
      </c>
      <c r="C19" s="549" t="s">
        <v>206</v>
      </c>
      <c r="D19" s="550">
        <v>500</v>
      </c>
      <c r="E19" s="551">
        <v>2.1</v>
      </c>
      <c r="F19" s="551">
        <f t="shared" si="2"/>
        <v>1050</v>
      </c>
      <c r="G19" s="551">
        <f t="shared" si="0"/>
        <v>201.495</v>
      </c>
      <c r="H19" s="552">
        <f t="shared" si="1"/>
        <v>1262.5949999999998</v>
      </c>
      <c r="J19" s="432"/>
      <c r="K19"/>
      <c r="L19"/>
      <c r="M19"/>
      <c r="N19"/>
      <c r="O19"/>
      <c r="P19"/>
      <c r="Q19"/>
      <c r="R19"/>
    </row>
    <row r="20" spans="1:18" x14ac:dyDescent="0.25">
      <c r="A20" s="555">
        <v>43717</v>
      </c>
      <c r="B20" s="548" t="s">
        <v>174</v>
      </c>
      <c r="C20" s="549" t="s">
        <v>206</v>
      </c>
      <c r="D20" s="550">
        <v>15600</v>
      </c>
      <c r="E20" s="551">
        <v>2.1</v>
      </c>
      <c r="F20" s="551">
        <f t="shared" si="2"/>
        <v>32760</v>
      </c>
      <c r="G20" s="551">
        <f t="shared" si="0"/>
        <v>6286.6440000000002</v>
      </c>
      <c r="H20" s="552">
        <f t="shared" si="1"/>
        <v>39374.843999999997</v>
      </c>
      <c r="I20" s="266"/>
      <c r="J20" s="507"/>
    </row>
    <row r="21" spans="1:18" x14ac:dyDescent="0.25">
      <c r="A21" s="555">
        <v>43724</v>
      </c>
      <c r="B21" s="548" t="s">
        <v>174</v>
      </c>
      <c r="C21" s="549" t="s">
        <v>206</v>
      </c>
      <c r="D21" s="550">
        <v>19820</v>
      </c>
      <c r="E21" s="551">
        <v>2.1</v>
      </c>
      <c r="F21" s="551">
        <f t="shared" si="2"/>
        <v>41622</v>
      </c>
      <c r="G21" s="551">
        <f t="shared" si="0"/>
        <v>7987.2618000000002</v>
      </c>
      <c r="H21" s="552">
        <f t="shared" si="1"/>
        <v>50026.0818</v>
      </c>
      <c r="I21" s="266"/>
      <c r="J21" s="507"/>
    </row>
    <row r="22" spans="1:18" x14ac:dyDescent="0.25">
      <c r="A22" s="555">
        <v>43798</v>
      </c>
      <c r="B22" s="548" t="s">
        <v>174</v>
      </c>
      <c r="C22" s="549" t="s">
        <v>206</v>
      </c>
      <c r="D22" s="550">
        <v>21980</v>
      </c>
      <c r="E22" s="551">
        <v>2.2000000000000002</v>
      </c>
      <c r="F22" s="551">
        <f t="shared" si="2"/>
        <v>48356.000000000007</v>
      </c>
      <c r="G22" s="551">
        <f t="shared" si="0"/>
        <v>9279.5164000000004</v>
      </c>
      <c r="H22" s="552">
        <f t="shared" si="1"/>
        <v>58119.676400000004</v>
      </c>
    </row>
    <row r="23" spans="1:18" x14ac:dyDescent="0.25">
      <c r="A23" s="555">
        <v>43809</v>
      </c>
      <c r="B23" s="548" t="s">
        <v>174</v>
      </c>
      <c r="C23" s="549" t="s">
        <v>206</v>
      </c>
      <c r="D23" s="550">
        <v>26940</v>
      </c>
      <c r="E23" s="551">
        <v>2.25</v>
      </c>
      <c r="F23" s="551">
        <f t="shared" si="2"/>
        <v>60615</v>
      </c>
      <c r="G23" s="551">
        <f t="shared" si="0"/>
        <v>11632.0185</v>
      </c>
      <c r="H23" s="552">
        <f t="shared" si="1"/>
        <v>72853.768500000006</v>
      </c>
    </row>
    <row r="24" spans="1:18" x14ac:dyDescent="0.25">
      <c r="A24" s="511">
        <v>43819</v>
      </c>
      <c r="B24" s="266" t="s">
        <v>174</v>
      </c>
      <c r="C24" s="270" t="s">
        <v>206</v>
      </c>
      <c r="D24" s="271">
        <v>6571</v>
      </c>
      <c r="E24" s="272">
        <v>2.25</v>
      </c>
      <c r="F24" s="272">
        <f>D24*E24</f>
        <v>14784.75</v>
      </c>
      <c r="G24" s="272">
        <f t="shared" si="0"/>
        <v>2837.1935250000001</v>
      </c>
      <c r="H24" s="367">
        <f t="shared" si="1"/>
        <v>17770.391024999997</v>
      </c>
    </row>
    <row r="25" spans="1:18" ht="15.75" thickBot="1" x14ac:dyDescent="0.3">
      <c r="A25" s="368"/>
      <c r="B25" s="369"/>
      <c r="C25" s="370"/>
      <c r="D25" s="371"/>
      <c r="E25" s="372"/>
      <c r="F25" s="372"/>
      <c r="G25" s="372"/>
      <c r="H25" s="373"/>
      <c r="J25" s="652"/>
    </row>
    <row r="29" spans="1:18" x14ac:dyDescent="0.25">
      <c r="A29" s="914" t="s">
        <v>909</v>
      </c>
      <c r="B29" s="914"/>
      <c r="C29" s="914"/>
      <c r="D29" s="914"/>
      <c r="E29" s="914"/>
      <c r="F29" s="914"/>
      <c r="G29" s="914"/>
      <c r="H29" s="914"/>
    </row>
    <row r="30" spans="1:18" ht="15.75" thickBot="1" x14ac:dyDescent="0.3">
      <c r="A30" s="250"/>
      <c r="B30" s="15"/>
      <c r="C30" s="263"/>
      <c r="D30" s="180"/>
      <c r="E30" s="187"/>
      <c r="F30" s="187"/>
      <c r="G30" s="187"/>
      <c r="H30" s="187"/>
    </row>
    <row r="31" spans="1:18" x14ac:dyDescent="0.25">
      <c r="A31" s="915" t="s">
        <v>243</v>
      </c>
      <c r="B31" s="916"/>
      <c r="C31" s="314" t="s">
        <v>167</v>
      </c>
      <c r="D31" s="917">
        <v>0</v>
      </c>
      <c r="E31" s="918"/>
      <c r="F31" s="231">
        <v>0</v>
      </c>
      <c r="G31" s="231">
        <v>0</v>
      </c>
      <c r="H31" s="315">
        <v>0</v>
      </c>
    </row>
    <row r="32" spans="1:18" x14ac:dyDescent="0.25">
      <c r="A32" s="904" t="s">
        <v>244</v>
      </c>
      <c r="B32" s="905"/>
      <c r="C32" s="316" t="s">
        <v>167</v>
      </c>
      <c r="D32" s="906">
        <f>SUM(D43:D45)</f>
        <v>31680</v>
      </c>
      <c r="E32" s="907"/>
      <c r="F32" s="189">
        <f>SUM(F43:F45)</f>
        <v>62982</v>
      </c>
      <c r="G32" s="189">
        <f>SUM(G43:G45)</f>
        <v>0</v>
      </c>
      <c r="H32" s="317">
        <f>SUM(F32:G32)</f>
        <v>62982</v>
      </c>
    </row>
    <row r="33" spans="1:8" x14ac:dyDescent="0.25">
      <c r="A33" s="904" t="s">
        <v>245</v>
      </c>
      <c r="B33" s="905"/>
      <c r="C33" s="316" t="s">
        <v>167</v>
      </c>
      <c r="D33" s="906">
        <v>0</v>
      </c>
      <c r="E33" s="907"/>
      <c r="F33" s="189">
        <v>0</v>
      </c>
      <c r="G33" s="189">
        <v>0</v>
      </c>
      <c r="H33" s="317">
        <v>0</v>
      </c>
    </row>
    <row r="34" spans="1:8" x14ac:dyDescent="0.25">
      <c r="A34" s="904" t="s">
        <v>246</v>
      </c>
      <c r="B34" s="905"/>
      <c r="C34" s="316" t="s">
        <v>167</v>
      </c>
      <c r="D34" s="906"/>
      <c r="E34" s="907"/>
      <c r="F34" s="189">
        <v>0</v>
      </c>
      <c r="G34" s="189">
        <v>0</v>
      </c>
      <c r="H34" s="317">
        <v>0</v>
      </c>
    </row>
    <row r="35" spans="1:8" x14ac:dyDescent="0.25">
      <c r="A35" s="908" t="s">
        <v>76</v>
      </c>
      <c r="B35" s="909"/>
      <c r="C35" s="909"/>
      <c r="D35" s="909"/>
      <c r="E35" s="909"/>
      <c r="F35" s="318">
        <f>SUM(F31:F34)</f>
        <v>62982</v>
      </c>
      <c r="G35" s="318">
        <f>SUM(G31:G34)</f>
        <v>0</v>
      </c>
      <c r="H35" s="319">
        <f>SUM(H31:H34)</f>
        <v>62982</v>
      </c>
    </row>
    <row r="36" spans="1:8" x14ac:dyDescent="0.25">
      <c r="A36" s="910" t="s">
        <v>247</v>
      </c>
      <c r="B36" s="911"/>
      <c r="C36" s="911"/>
      <c r="D36" s="911"/>
      <c r="E36" s="911"/>
      <c r="F36" s="911"/>
      <c r="G36" s="911"/>
      <c r="H36" s="319">
        <f>H46+H47</f>
        <v>-104409.65204999999</v>
      </c>
    </row>
    <row r="37" spans="1:8" x14ac:dyDescent="0.25">
      <c r="A37" s="910" t="s">
        <v>910</v>
      </c>
      <c r="B37" s="911"/>
      <c r="C37" s="911"/>
      <c r="D37" s="911"/>
      <c r="E37" s="911"/>
      <c r="F37" s="911"/>
      <c r="G37" s="911"/>
      <c r="H37" s="695">
        <f>+G46+G47</f>
        <v>16670.25705</v>
      </c>
    </row>
    <row r="38" spans="1:8" x14ac:dyDescent="0.25">
      <c r="A38" s="910" t="s">
        <v>911</v>
      </c>
      <c r="B38" s="911"/>
      <c r="C38" s="911"/>
      <c r="D38" s="911"/>
      <c r="E38" s="911"/>
      <c r="F38" s="911"/>
      <c r="G38" s="911"/>
      <c r="H38" s="695">
        <f>(F46+F47)*1%</f>
        <v>868.69500000000005</v>
      </c>
    </row>
    <row r="39" spans="1:8" x14ac:dyDescent="0.25">
      <c r="A39" s="910" t="s">
        <v>913</v>
      </c>
      <c r="B39" s="911"/>
      <c r="C39" s="911"/>
      <c r="D39" s="911"/>
      <c r="E39" s="911"/>
      <c r="F39" s="911"/>
      <c r="G39" s="911"/>
      <c r="H39" s="695">
        <f>-(H46+H47)*1.5%</f>
        <v>1566.1447807499999</v>
      </c>
    </row>
    <row r="40" spans="1:8" x14ac:dyDescent="0.25">
      <c r="A40" s="910" t="s">
        <v>912</v>
      </c>
      <c r="B40" s="911"/>
      <c r="C40" s="911"/>
      <c r="D40" s="911"/>
      <c r="E40" s="911"/>
      <c r="F40" s="911"/>
      <c r="G40" s="911"/>
      <c r="H40" s="695">
        <v>20000</v>
      </c>
    </row>
    <row r="41" spans="1:8" ht="15.75" thickBot="1" x14ac:dyDescent="0.3">
      <c r="A41" s="912" t="s">
        <v>248</v>
      </c>
      <c r="B41" s="913"/>
      <c r="C41" s="913"/>
      <c r="D41" s="913"/>
      <c r="E41" s="913"/>
      <c r="F41" s="913"/>
      <c r="G41" s="913"/>
      <c r="H41" s="320">
        <f>SUM(H35:H40)</f>
        <v>-2322.555219249989</v>
      </c>
    </row>
    <row r="42" spans="1:8" ht="15.75" thickBot="1" x14ac:dyDescent="0.3">
      <c r="A42" s="15"/>
      <c r="B42" s="15"/>
      <c r="C42" s="15"/>
      <c r="D42" s="15"/>
      <c r="E42" s="15"/>
      <c r="F42" s="15"/>
      <c r="G42" s="15"/>
      <c r="H42" s="15"/>
    </row>
    <row r="43" spans="1:8" x14ac:dyDescent="0.25">
      <c r="A43" s="510">
        <v>43643</v>
      </c>
      <c r="B43" s="427" t="s">
        <v>174</v>
      </c>
      <c r="C43" s="428" t="s">
        <v>206</v>
      </c>
      <c r="D43" s="429">
        <v>10660</v>
      </c>
      <c r="E43" s="430">
        <v>1.95</v>
      </c>
      <c r="F43" s="430">
        <f>D43*E43</f>
        <v>20787</v>
      </c>
      <c r="G43" s="430"/>
      <c r="H43" s="431"/>
    </row>
    <row r="44" spans="1:8" x14ac:dyDescent="0.25">
      <c r="A44" s="511">
        <v>43656</v>
      </c>
      <c r="B44" s="266" t="s">
        <v>174</v>
      </c>
      <c r="C44" s="270" t="s">
        <v>206</v>
      </c>
      <c r="D44" s="271">
        <v>12980</v>
      </c>
      <c r="E44" s="272">
        <v>1.95</v>
      </c>
      <c r="F44" s="272">
        <f>D44*E44</f>
        <v>25311</v>
      </c>
      <c r="G44" s="272"/>
      <c r="H44" s="367"/>
    </row>
    <row r="45" spans="1:8" x14ac:dyDescent="0.25">
      <c r="A45" s="511">
        <v>43693</v>
      </c>
      <c r="B45" s="266" t="s">
        <v>174</v>
      </c>
      <c r="C45" s="270" t="s">
        <v>206</v>
      </c>
      <c r="D45" s="271">
        <v>8040</v>
      </c>
      <c r="E45" s="272">
        <v>2.1</v>
      </c>
      <c r="F45" s="272">
        <f>D45*E45</f>
        <v>16884</v>
      </c>
      <c r="G45" s="272"/>
      <c r="H45" s="367"/>
    </row>
    <row r="46" spans="1:8" x14ac:dyDescent="0.25">
      <c r="A46" s="511"/>
      <c r="B46" s="548" t="s">
        <v>247</v>
      </c>
      <c r="C46" s="549" t="s">
        <v>206</v>
      </c>
      <c r="D46" s="550">
        <v>29720</v>
      </c>
      <c r="E46" s="551">
        <v>1.45</v>
      </c>
      <c r="F46" s="551">
        <f>D46*E46</f>
        <v>43094</v>
      </c>
      <c r="G46" s="551">
        <f>F46*1.01*0.19</f>
        <v>8269.7386000000006</v>
      </c>
      <c r="H46" s="552">
        <f>-(F46*1.01+G46+0.6)</f>
        <v>-51795.278599999998</v>
      </c>
    </row>
    <row r="47" spans="1:8" x14ac:dyDescent="0.25">
      <c r="A47" s="511"/>
      <c r="B47" s="548" t="s">
        <v>247</v>
      </c>
      <c r="C47" s="549" t="s">
        <v>206</v>
      </c>
      <c r="D47" s="550">
        <v>30190</v>
      </c>
      <c r="E47" s="551">
        <v>1.45</v>
      </c>
      <c r="F47" s="551">
        <f>D47*E47</f>
        <v>43775.5</v>
      </c>
      <c r="G47" s="551">
        <f>F47*1.01*0.19</f>
        <v>8400.5184499999996</v>
      </c>
      <c r="H47" s="552">
        <f>-(F47*1.01+G47+0.6)</f>
        <v>-52614.373449999992</v>
      </c>
    </row>
    <row r="48" spans="1:8" x14ac:dyDescent="0.25">
      <c r="A48" s="511"/>
      <c r="B48" s="266"/>
      <c r="C48" s="270"/>
      <c r="D48" s="271"/>
      <c r="E48" s="272"/>
      <c r="F48" s="272"/>
      <c r="G48" s="272"/>
      <c r="H48" s="367"/>
    </row>
    <row r="49" spans="1:8" ht="15.75" thickBot="1" x14ac:dyDescent="0.3">
      <c r="A49" s="368"/>
      <c r="B49" s="369"/>
      <c r="C49" s="370"/>
      <c r="D49" s="371"/>
      <c r="E49" s="372"/>
      <c r="F49" s="372"/>
      <c r="G49" s="372"/>
      <c r="H49" s="373"/>
    </row>
    <row r="50" spans="1:8" x14ac:dyDescent="0.25">
      <c r="A50" s="266"/>
      <c r="B50" s="266"/>
      <c r="C50" s="266"/>
      <c r="D50" s="266"/>
      <c r="E50" s="266"/>
      <c r="F50" s="266"/>
      <c r="G50" s="266"/>
      <c r="H50" s="266"/>
    </row>
  </sheetData>
  <mergeCells count="41">
    <mergeCell ref="A39:G39"/>
    <mergeCell ref="A40:G40"/>
    <mergeCell ref="A41:G41"/>
    <mergeCell ref="A34:B34"/>
    <mergeCell ref="D34:E34"/>
    <mergeCell ref="A35:E35"/>
    <mergeCell ref="A36:G36"/>
    <mergeCell ref="A37:G37"/>
    <mergeCell ref="A38:G38"/>
    <mergeCell ref="A31:B31"/>
    <mergeCell ref="D31:E31"/>
    <mergeCell ref="A32:B32"/>
    <mergeCell ref="D32:E32"/>
    <mergeCell ref="A33:B33"/>
    <mergeCell ref="D33:E33"/>
    <mergeCell ref="A29:H29"/>
    <mergeCell ref="A6:B6"/>
    <mergeCell ref="D6:E6"/>
    <mergeCell ref="K6:L6"/>
    <mergeCell ref="N6:O6"/>
    <mergeCell ref="A7:E7"/>
    <mergeCell ref="K7:O7"/>
    <mergeCell ref="A8:G8"/>
    <mergeCell ref="K8:Q8"/>
    <mergeCell ref="A9:G9"/>
    <mergeCell ref="K9:Q9"/>
    <mergeCell ref="A10:G10"/>
    <mergeCell ref="A4:B4"/>
    <mergeCell ref="D4:E4"/>
    <mergeCell ref="K4:L4"/>
    <mergeCell ref="N4:O4"/>
    <mergeCell ref="A5:B5"/>
    <mergeCell ref="D5:E5"/>
    <mergeCell ref="K5:L5"/>
    <mergeCell ref="N5:O5"/>
    <mergeCell ref="A1:H1"/>
    <mergeCell ref="K1:R1"/>
    <mergeCell ref="A3:B3"/>
    <mergeCell ref="D3:E3"/>
    <mergeCell ref="K3:L3"/>
    <mergeCell ref="N3:O3"/>
  </mergeCells>
  <pageMargins left="0.7" right="0.7" top="0.75" bottom="0.75" header="0.3" footer="0.3"/>
  <pageSetup paperSize="9" orientation="portrait" horizontalDpi="180" verticalDpi="18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zoomScaleNormal="100" workbookViewId="0">
      <selection activeCell="L33" sqref="L33"/>
    </sheetView>
  </sheetViews>
  <sheetFormatPr baseColWidth="10" defaultRowHeight="15" x14ac:dyDescent="0.25"/>
  <cols>
    <col min="1" max="1" width="10.140625" bestFit="1" customWidth="1"/>
    <col min="2" max="2" width="17.28515625" bestFit="1" customWidth="1"/>
    <col min="3" max="3" width="3.42578125" bestFit="1" customWidth="1"/>
    <col min="4" max="4" width="8.85546875" bestFit="1" customWidth="1"/>
    <col min="5" max="5" width="5.42578125" bestFit="1" customWidth="1"/>
    <col min="6" max="8" width="10.85546875" bestFit="1" customWidth="1"/>
  </cols>
  <sheetData>
    <row r="1" spans="1:16" x14ac:dyDescent="0.25">
      <c r="A1" s="914" t="s">
        <v>656</v>
      </c>
      <c r="B1" s="914"/>
      <c r="C1" s="914"/>
      <c r="D1" s="914"/>
      <c r="E1" s="914"/>
      <c r="F1" s="914"/>
      <c r="G1" s="914"/>
      <c r="H1" s="914"/>
    </row>
    <row r="2" spans="1:16" ht="15.75" thickBot="1" x14ac:dyDescent="0.3">
      <c r="A2" s="250"/>
      <c r="B2" s="15"/>
      <c r="C2" s="263"/>
      <c r="D2" s="180"/>
      <c r="E2" s="187"/>
      <c r="F2" s="187"/>
      <c r="G2" s="187"/>
      <c r="H2" s="187"/>
    </row>
    <row r="3" spans="1:16" x14ac:dyDescent="0.25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v>0</v>
      </c>
    </row>
    <row r="4" spans="1:16" x14ac:dyDescent="0.25">
      <c r="A4" s="904" t="s">
        <v>244</v>
      </c>
      <c r="B4" s="905"/>
      <c r="C4" s="316" t="s">
        <v>167</v>
      </c>
      <c r="D4" s="906">
        <f>SUM(D11:D26)</f>
        <v>272541</v>
      </c>
      <c r="E4" s="907"/>
      <c r="F4" s="189">
        <f>SUM(F11:F26)</f>
        <v>558952.25</v>
      </c>
      <c r="G4" s="189">
        <f>SUM(G11:G26)</f>
        <v>106200.92750000001</v>
      </c>
      <c r="H4" s="317">
        <f>SUM(H11:H26)</f>
        <v>665159.77749999997</v>
      </c>
    </row>
    <row r="5" spans="1:16" x14ac:dyDescent="0.25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v>0</v>
      </c>
    </row>
    <row r="6" spans="1:16" x14ac:dyDescent="0.25">
      <c r="A6" s="904" t="s">
        <v>246</v>
      </c>
      <c r="B6" s="905"/>
      <c r="C6" s="316" t="s">
        <v>167</v>
      </c>
      <c r="D6" s="906">
        <v>0</v>
      </c>
      <c r="E6" s="907"/>
      <c r="F6" s="189">
        <v>0</v>
      </c>
      <c r="G6" s="189">
        <v>0</v>
      </c>
      <c r="H6" s="317">
        <v>0</v>
      </c>
    </row>
    <row r="7" spans="1:16" x14ac:dyDescent="0.25">
      <c r="A7" s="908" t="s">
        <v>76</v>
      </c>
      <c r="B7" s="909"/>
      <c r="C7" s="909"/>
      <c r="D7" s="909"/>
      <c r="E7" s="909"/>
      <c r="F7" s="318">
        <f>SUM(F3:F6)</f>
        <v>558952.25</v>
      </c>
      <c r="G7" s="318">
        <f>SUM(G3:G6)</f>
        <v>106200.92750000001</v>
      </c>
      <c r="H7" s="319">
        <f>SUM(H3:H6)</f>
        <v>665159.77749999997</v>
      </c>
    </row>
    <row r="8" spans="1:16" x14ac:dyDescent="0.25">
      <c r="A8" s="910" t="s">
        <v>247</v>
      </c>
      <c r="B8" s="911"/>
      <c r="C8" s="911"/>
      <c r="D8" s="911"/>
      <c r="E8" s="911"/>
      <c r="F8" s="911"/>
      <c r="G8" s="911"/>
      <c r="H8" s="319">
        <f>H11+H12+H13+H14+H15+H16+H17+H18+H19+H20+H21</f>
        <v>665159.77749999997</v>
      </c>
    </row>
    <row r="9" spans="1:16" ht="15.75" thickBot="1" x14ac:dyDescent="0.3">
      <c r="A9" s="912" t="s">
        <v>248</v>
      </c>
      <c r="B9" s="913"/>
      <c r="C9" s="913"/>
      <c r="D9" s="913"/>
      <c r="E9" s="913"/>
      <c r="F9" s="913"/>
      <c r="G9" s="913"/>
      <c r="H9" s="320">
        <f>+H7-H8</f>
        <v>0</v>
      </c>
    </row>
    <row r="10" spans="1:16" ht="15.75" thickBot="1" x14ac:dyDescent="0.3">
      <c r="A10" s="15"/>
      <c r="B10" s="15"/>
      <c r="C10" s="15"/>
      <c r="D10" s="15"/>
      <c r="E10" s="15"/>
      <c r="F10" s="15"/>
      <c r="G10" s="15"/>
      <c r="H10" s="15"/>
    </row>
    <row r="11" spans="1:16" s="266" customFormat="1" ht="12.75" x14ac:dyDescent="0.25">
      <c r="A11" s="554">
        <v>43511</v>
      </c>
      <c r="B11" s="542" t="s">
        <v>174</v>
      </c>
      <c r="C11" s="543" t="s">
        <v>206</v>
      </c>
      <c r="D11" s="544">
        <v>33060</v>
      </c>
      <c r="E11" s="545">
        <v>1.8</v>
      </c>
      <c r="F11" s="545">
        <f t="shared" ref="F11:F21" si="0">D11*E11</f>
        <v>59508</v>
      </c>
      <c r="G11" s="545">
        <f t="shared" ref="G11:G21" si="1">F11*0.19</f>
        <v>11306.52</v>
      </c>
      <c r="H11" s="546">
        <f t="shared" ref="H11:H21" si="2">F11+G11+0.6</f>
        <v>70815.12000000001</v>
      </c>
      <c r="J11" s="432"/>
      <c r="K11" s="270"/>
      <c r="L11" s="272"/>
      <c r="M11" s="504"/>
      <c r="N11" s="267"/>
      <c r="O11" s="539"/>
      <c r="P11" s="267"/>
    </row>
    <row r="12" spans="1:16" s="266" customFormat="1" ht="12.75" x14ac:dyDescent="0.25">
      <c r="A12" s="555">
        <v>43577</v>
      </c>
      <c r="B12" s="548" t="s">
        <v>174</v>
      </c>
      <c r="C12" s="549" t="s">
        <v>206</v>
      </c>
      <c r="D12" s="550">
        <v>33240</v>
      </c>
      <c r="E12" s="551">
        <v>1.9</v>
      </c>
      <c r="F12" s="551">
        <f t="shared" si="0"/>
        <v>63156</v>
      </c>
      <c r="G12" s="551">
        <f t="shared" si="1"/>
        <v>11999.64</v>
      </c>
      <c r="H12" s="552">
        <f t="shared" si="2"/>
        <v>75156.240000000005</v>
      </c>
      <c r="J12" s="432"/>
      <c r="K12" s="270"/>
      <c r="L12" s="272"/>
      <c r="M12" s="504"/>
      <c r="N12" s="267"/>
      <c r="O12" s="539"/>
      <c r="P12" s="267"/>
    </row>
    <row r="13" spans="1:16" s="266" customFormat="1" ht="12.75" x14ac:dyDescent="0.25">
      <c r="A13" s="555">
        <v>43616</v>
      </c>
      <c r="B13" s="548" t="s">
        <v>174</v>
      </c>
      <c r="C13" s="549" t="s">
        <v>206</v>
      </c>
      <c r="D13" s="550">
        <v>33500</v>
      </c>
      <c r="E13" s="551">
        <v>1.9</v>
      </c>
      <c r="F13" s="551">
        <f t="shared" si="0"/>
        <v>63650</v>
      </c>
      <c r="G13" s="551">
        <f t="shared" si="1"/>
        <v>12093.5</v>
      </c>
      <c r="H13" s="552">
        <f t="shared" si="2"/>
        <v>75744.100000000006</v>
      </c>
      <c r="J13" s="432"/>
      <c r="K13" s="270"/>
      <c r="L13" s="272"/>
      <c r="M13" s="504"/>
      <c r="N13" s="267"/>
      <c r="O13" s="539"/>
      <c r="P13" s="267"/>
    </row>
    <row r="14" spans="1:16" s="266" customFormat="1" ht="12.75" x14ac:dyDescent="0.25">
      <c r="A14" s="555">
        <v>43686</v>
      </c>
      <c r="B14" s="548" t="s">
        <v>174</v>
      </c>
      <c r="C14" s="549" t="s">
        <v>206</v>
      </c>
      <c r="D14" s="550">
        <v>30800</v>
      </c>
      <c r="E14" s="551">
        <v>2.1</v>
      </c>
      <c r="F14" s="551">
        <f t="shared" si="0"/>
        <v>64680</v>
      </c>
      <c r="G14" s="551">
        <f t="shared" si="1"/>
        <v>12289.2</v>
      </c>
      <c r="H14" s="552">
        <f t="shared" si="2"/>
        <v>76969.8</v>
      </c>
      <c r="J14" s="432"/>
      <c r="K14" s="270"/>
      <c r="L14" s="272"/>
      <c r="M14" s="504"/>
      <c r="N14" s="267"/>
      <c r="O14" s="539"/>
      <c r="P14" s="267"/>
    </row>
    <row r="15" spans="1:16" s="266" customFormat="1" ht="12.75" x14ac:dyDescent="0.25">
      <c r="A15" s="555">
        <v>43718</v>
      </c>
      <c r="B15" s="548" t="s">
        <v>174</v>
      </c>
      <c r="C15" s="549" t="s">
        <v>206</v>
      </c>
      <c r="D15" s="550">
        <v>26540</v>
      </c>
      <c r="E15" s="551">
        <v>2.1</v>
      </c>
      <c r="F15" s="551">
        <f t="shared" si="0"/>
        <v>55734</v>
      </c>
      <c r="G15" s="551">
        <f t="shared" si="1"/>
        <v>10589.460000000001</v>
      </c>
      <c r="H15" s="552">
        <f t="shared" si="2"/>
        <v>66324.060000000012</v>
      </c>
      <c r="J15" s="432"/>
      <c r="K15" s="270"/>
      <c r="L15" s="272"/>
      <c r="M15" s="504"/>
      <c r="N15" s="267"/>
      <c r="O15" s="539"/>
      <c r="P15" s="267"/>
    </row>
    <row r="16" spans="1:16" s="266" customFormat="1" ht="12.75" x14ac:dyDescent="0.25">
      <c r="A16" s="555">
        <v>43741</v>
      </c>
      <c r="B16" s="548" t="s">
        <v>174</v>
      </c>
      <c r="C16" s="549" t="s">
        <v>206</v>
      </c>
      <c r="D16" s="550">
        <v>25400</v>
      </c>
      <c r="E16" s="551">
        <v>2.1</v>
      </c>
      <c r="F16" s="551">
        <f t="shared" si="0"/>
        <v>53340</v>
      </c>
      <c r="G16" s="551">
        <f t="shared" si="1"/>
        <v>10134.6</v>
      </c>
      <c r="H16" s="552">
        <f t="shared" si="2"/>
        <v>63475.199999999997</v>
      </c>
      <c r="J16" s="432"/>
      <c r="K16" s="270"/>
      <c r="L16" s="272"/>
      <c r="M16" s="504"/>
      <c r="N16" s="267"/>
      <c r="O16" s="539"/>
      <c r="P16" s="267"/>
    </row>
    <row r="17" spans="1:16" s="266" customFormat="1" ht="12.75" x14ac:dyDescent="0.25">
      <c r="A17" s="555">
        <v>43769</v>
      </c>
      <c r="B17" s="548" t="s">
        <v>174</v>
      </c>
      <c r="C17" s="549" t="s">
        <v>206</v>
      </c>
      <c r="D17" s="550">
        <v>24120</v>
      </c>
      <c r="E17" s="551">
        <v>2.1</v>
      </c>
      <c r="F17" s="551">
        <f t="shared" si="0"/>
        <v>50652</v>
      </c>
      <c r="G17" s="551">
        <f t="shared" si="1"/>
        <v>9623.880000000001</v>
      </c>
      <c r="H17" s="552">
        <f t="shared" si="2"/>
        <v>60276.480000000003</v>
      </c>
      <c r="J17" s="432"/>
      <c r="K17" s="270"/>
      <c r="L17" s="272"/>
      <c r="M17" s="504"/>
      <c r="N17" s="267"/>
      <c r="O17" s="539"/>
      <c r="P17" s="267"/>
    </row>
    <row r="18" spans="1:16" s="266" customFormat="1" ht="12.75" x14ac:dyDescent="0.25">
      <c r="A18" s="555">
        <v>43791</v>
      </c>
      <c r="B18" s="548" t="s">
        <v>174</v>
      </c>
      <c r="C18" s="549" t="s">
        <v>206</v>
      </c>
      <c r="D18" s="550">
        <v>24960</v>
      </c>
      <c r="E18" s="551">
        <v>2.25</v>
      </c>
      <c r="F18" s="551">
        <f t="shared" si="0"/>
        <v>56160</v>
      </c>
      <c r="G18" s="551">
        <f t="shared" si="1"/>
        <v>10670.4</v>
      </c>
      <c r="H18" s="552">
        <f t="shared" si="2"/>
        <v>66831</v>
      </c>
      <c r="J18" s="432"/>
      <c r="K18" s="270"/>
      <c r="L18" s="272"/>
      <c r="M18" s="504"/>
      <c r="N18" s="267"/>
      <c r="O18" s="539"/>
      <c r="P18" s="267"/>
    </row>
    <row r="19" spans="1:16" s="266" customFormat="1" ht="12.75" x14ac:dyDescent="0.25">
      <c r="A19" s="555">
        <v>43805</v>
      </c>
      <c r="B19" s="548" t="s">
        <v>174</v>
      </c>
      <c r="C19" s="549" t="s">
        <v>206</v>
      </c>
      <c r="D19" s="550">
        <v>13680</v>
      </c>
      <c r="E19" s="551">
        <v>2.25</v>
      </c>
      <c r="F19" s="551">
        <f t="shared" si="0"/>
        <v>30780</v>
      </c>
      <c r="G19" s="551">
        <f t="shared" si="1"/>
        <v>5848.2</v>
      </c>
      <c r="H19" s="552">
        <f t="shared" si="2"/>
        <v>36628.799999999996</v>
      </c>
      <c r="J19" s="432"/>
      <c r="K19" s="270"/>
      <c r="L19" s="272"/>
      <c r="M19" s="504"/>
      <c r="N19" s="267"/>
      <c r="O19" s="539"/>
      <c r="P19" s="267"/>
    </row>
    <row r="20" spans="1:16" s="266" customFormat="1" ht="12.75" x14ac:dyDescent="0.25">
      <c r="A20" s="555">
        <v>43813</v>
      </c>
      <c r="B20" s="548" t="s">
        <v>174</v>
      </c>
      <c r="C20" s="549" t="s">
        <v>206</v>
      </c>
      <c r="D20" s="550">
        <v>13440</v>
      </c>
      <c r="E20" s="551">
        <v>2.25</v>
      </c>
      <c r="F20" s="551">
        <f t="shared" si="0"/>
        <v>30240</v>
      </c>
      <c r="G20" s="551">
        <f t="shared" si="1"/>
        <v>5745.6</v>
      </c>
      <c r="H20" s="552">
        <f t="shared" si="2"/>
        <v>35986.199999999997</v>
      </c>
      <c r="J20" s="432"/>
      <c r="K20" s="270"/>
      <c r="L20" s="272"/>
      <c r="M20" s="504"/>
      <c r="N20" s="267"/>
      <c r="O20" s="539"/>
      <c r="P20" s="267"/>
    </row>
    <row r="21" spans="1:16" s="266" customFormat="1" ht="12.75" x14ac:dyDescent="0.25">
      <c r="A21" s="555">
        <v>43837</v>
      </c>
      <c r="B21" s="548" t="s">
        <v>174</v>
      </c>
      <c r="C21" s="549" t="s">
        <v>206</v>
      </c>
      <c r="D21" s="550">
        <v>13801</v>
      </c>
      <c r="E21" s="551">
        <v>2.25</v>
      </c>
      <c r="F21" s="551">
        <f t="shared" si="0"/>
        <v>31052.25</v>
      </c>
      <c r="G21" s="551">
        <f t="shared" si="1"/>
        <v>5899.9274999999998</v>
      </c>
      <c r="H21" s="552">
        <f t="shared" si="2"/>
        <v>36952.777499999997</v>
      </c>
      <c r="J21" s="432"/>
      <c r="K21" s="270"/>
      <c r="L21" s="272"/>
      <c r="M21" s="504"/>
      <c r="N21" s="267"/>
      <c r="O21" s="539"/>
      <c r="P21" s="267"/>
    </row>
    <row r="22" spans="1:16" s="266" customFormat="1" ht="12.75" x14ac:dyDescent="0.25">
      <c r="A22" s="511"/>
      <c r="C22" s="270"/>
      <c r="D22" s="271"/>
      <c r="E22" s="272"/>
      <c r="F22" s="272"/>
      <c r="G22" s="272"/>
      <c r="H22" s="367"/>
      <c r="J22" s="432"/>
      <c r="K22" s="270"/>
      <c r="L22" s="272"/>
      <c r="M22" s="504"/>
      <c r="N22" s="267"/>
      <c r="O22" s="539"/>
      <c r="P22" s="267"/>
    </row>
    <row r="23" spans="1:16" s="266" customFormat="1" ht="12.75" x14ac:dyDescent="0.25">
      <c r="A23" s="511"/>
      <c r="C23" s="270"/>
      <c r="D23" s="271"/>
      <c r="E23" s="272"/>
      <c r="F23" s="272"/>
      <c r="G23" s="272"/>
      <c r="H23" s="367"/>
      <c r="J23" s="432"/>
      <c r="K23" s="270"/>
      <c r="L23" s="272"/>
      <c r="M23" s="504"/>
      <c r="N23" s="267"/>
      <c r="O23" s="539"/>
      <c r="P23" s="267"/>
    </row>
    <row r="24" spans="1:16" s="266" customFormat="1" ht="12.75" x14ac:dyDescent="0.25">
      <c r="A24" s="511"/>
      <c r="C24" s="270"/>
      <c r="D24" s="271"/>
      <c r="E24" s="272"/>
      <c r="F24" s="272"/>
      <c r="G24" s="272"/>
      <c r="H24" s="367"/>
      <c r="J24" s="432"/>
      <c r="K24" s="270"/>
      <c r="L24" s="272"/>
      <c r="M24" s="504"/>
      <c r="N24" s="267"/>
      <c r="O24" s="539"/>
      <c r="P24" s="267"/>
    </row>
    <row r="25" spans="1:16" s="266" customFormat="1" ht="12.75" x14ac:dyDescent="0.25">
      <c r="A25" s="511"/>
      <c r="C25" s="270"/>
      <c r="D25" s="271"/>
      <c r="E25" s="272"/>
      <c r="F25" s="272"/>
      <c r="G25" s="272"/>
      <c r="H25" s="367"/>
      <c r="J25" s="432"/>
      <c r="K25" s="270"/>
      <c r="L25" s="272"/>
      <c r="M25" s="504"/>
      <c r="N25" s="267"/>
      <c r="O25" s="539"/>
      <c r="P25" s="267"/>
    </row>
    <row r="26" spans="1:16" ht="15.75" thickBot="1" x14ac:dyDescent="0.3">
      <c r="A26" s="368"/>
      <c r="B26" s="369"/>
      <c r="C26" s="370"/>
      <c r="D26" s="371"/>
      <c r="E26" s="372"/>
      <c r="F26" s="372"/>
      <c r="G26" s="372"/>
      <c r="H26" s="373"/>
    </row>
  </sheetData>
  <mergeCells count="12">
    <mergeCell ref="A6:B6"/>
    <mergeCell ref="D6:E6"/>
    <mergeCell ref="A7:E7"/>
    <mergeCell ref="A8:G8"/>
    <mergeCell ref="A9:G9"/>
    <mergeCell ref="A5:B5"/>
    <mergeCell ref="D5:E5"/>
    <mergeCell ref="A1:H1"/>
    <mergeCell ref="A3:B3"/>
    <mergeCell ref="D3:E3"/>
    <mergeCell ref="A4:B4"/>
    <mergeCell ref="D4:E4"/>
  </mergeCells>
  <pageMargins left="0.7" right="0.7" top="0.75" bottom="0.75" header="0.3" footer="0.3"/>
  <pageSetup paperSize="9" orientation="portrait" horizontalDpi="180" verticalDpi="18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F96"/>
  <sheetViews>
    <sheetView zoomScale="90" zoomScaleNormal="90" workbookViewId="0">
      <selection activeCell="L33" sqref="L33"/>
    </sheetView>
  </sheetViews>
  <sheetFormatPr baseColWidth="10" defaultColWidth="9.5703125" defaultRowHeight="12.75" x14ac:dyDescent="0.2"/>
  <cols>
    <col min="1" max="1" width="11.5703125" style="15" bestFit="1" customWidth="1"/>
    <col min="2" max="2" width="8.140625" style="15" bestFit="1" customWidth="1"/>
    <col min="3" max="3" width="4" style="15" bestFit="1" customWidth="1"/>
    <col min="4" max="4" width="8.7109375" style="15" bestFit="1" customWidth="1"/>
    <col min="5" max="5" width="6.28515625" style="15" bestFit="1" customWidth="1"/>
    <col min="6" max="6" width="12.28515625" style="15" bestFit="1" customWidth="1"/>
    <col min="7" max="7" width="11.5703125" style="15" bestFit="1" customWidth="1"/>
    <col min="8" max="8" width="12.28515625" style="15" bestFit="1" customWidth="1"/>
    <col min="9" max="9" width="9.7109375" style="15" bestFit="1" customWidth="1"/>
    <col min="10" max="10" width="18.7109375" style="15" bestFit="1" customWidth="1"/>
    <col min="11" max="11" width="4" style="15" bestFit="1" customWidth="1"/>
    <col min="12" max="12" width="8.7109375" style="15" bestFit="1" customWidth="1"/>
    <col min="13" max="13" width="5.42578125" style="15" bestFit="1" customWidth="1"/>
    <col min="14" max="15" width="9.7109375" style="15" bestFit="1" customWidth="1"/>
    <col min="16" max="16" width="10.5703125" style="15" bestFit="1" customWidth="1"/>
    <col min="17" max="17" width="9.7109375" style="26" bestFit="1" customWidth="1"/>
    <col min="18" max="18" width="7.42578125" style="15" bestFit="1" customWidth="1"/>
    <col min="19" max="19" width="4" style="15" bestFit="1" customWidth="1"/>
    <col min="20" max="20" width="8.7109375" style="15" bestFit="1" customWidth="1"/>
    <col min="21" max="21" width="6.28515625" style="15" bestFit="1" customWidth="1"/>
    <col min="22" max="22" width="10.5703125" style="15" bestFit="1" customWidth="1"/>
    <col min="23" max="23" width="9.7109375" style="15" bestFit="1" customWidth="1"/>
    <col min="24" max="24" width="10.5703125" style="15" bestFit="1" customWidth="1"/>
    <col min="25" max="25" width="9.7109375" style="26" bestFit="1" customWidth="1"/>
    <col min="26" max="26" width="7.85546875" style="15" bestFit="1" customWidth="1"/>
    <col min="27" max="27" width="4" style="15" bestFit="1" customWidth="1"/>
    <col min="28" max="28" width="8.7109375" style="15" bestFit="1" customWidth="1"/>
    <col min="29" max="29" width="5.42578125" style="15" bestFit="1" customWidth="1"/>
    <col min="30" max="32" width="9.7109375" style="15" bestFit="1" customWidth="1"/>
    <col min="33" max="16384" width="9.5703125" style="15"/>
  </cols>
  <sheetData>
    <row r="1" spans="1:32" x14ac:dyDescent="0.2">
      <c r="A1" s="914" t="s">
        <v>1068</v>
      </c>
      <c r="B1" s="914"/>
      <c r="C1" s="914"/>
      <c r="D1" s="914"/>
      <c r="E1" s="914"/>
      <c r="F1" s="914"/>
      <c r="G1" s="914"/>
      <c r="H1" s="914"/>
    </row>
    <row r="2" spans="1:32" ht="13.5" thickBot="1" x14ac:dyDescent="0.25">
      <c r="A2" s="250"/>
      <c r="C2" s="263"/>
      <c r="D2" s="180"/>
      <c r="E2" s="187"/>
      <c r="F2" s="187"/>
      <c r="G2" s="187"/>
      <c r="H2" s="187"/>
    </row>
    <row r="3" spans="1:32" x14ac:dyDescent="0.2">
      <c r="A3" s="915" t="s">
        <v>243</v>
      </c>
      <c r="B3" s="916"/>
      <c r="C3" s="314" t="s">
        <v>167</v>
      </c>
      <c r="D3" s="920">
        <f>SUM(D14:D36)</f>
        <v>179760</v>
      </c>
      <c r="E3" s="920"/>
      <c r="F3" s="231">
        <f>SUM(F14:F36)</f>
        <v>263651</v>
      </c>
      <c r="G3" s="231">
        <f>SUM(G14:G36)</f>
        <v>50093.689999999995</v>
      </c>
      <c r="H3" s="315">
        <f>+F3+G3</f>
        <v>313744.69</v>
      </c>
    </row>
    <row r="4" spans="1:32" x14ac:dyDescent="0.2">
      <c r="A4" s="904" t="s">
        <v>244</v>
      </c>
      <c r="B4" s="905"/>
      <c r="C4" s="316" t="s">
        <v>167</v>
      </c>
      <c r="D4" s="919">
        <f>SUM(L14:L36)</f>
        <v>824527</v>
      </c>
      <c r="E4" s="919"/>
      <c r="F4" s="189">
        <f>SUM(N14:N36)</f>
        <v>1668791.4</v>
      </c>
      <c r="G4" s="189">
        <f>SUM(O14:O36)</f>
        <v>317070.36600000004</v>
      </c>
      <c r="H4" s="317">
        <f>+F4+G4</f>
        <v>1985861.7659999998</v>
      </c>
    </row>
    <row r="5" spans="1:32" x14ac:dyDescent="0.2">
      <c r="A5" s="904" t="s">
        <v>245</v>
      </c>
      <c r="B5" s="905"/>
      <c r="C5" s="316" t="s">
        <v>167</v>
      </c>
      <c r="D5" s="919">
        <f>SUM(T14:T19)</f>
        <v>17387</v>
      </c>
      <c r="E5" s="919"/>
      <c r="F5" s="189">
        <f>SUM(V14:V36)</f>
        <v>672691</v>
      </c>
      <c r="G5" s="189">
        <f>SUM(W14:W36)</f>
        <v>127811.29000000002</v>
      </c>
      <c r="H5" s="317">
        <f>G5+F5</f>
        <v>800502.29</v>
      </c>
    </row>
    <row r="6" spans="1:32" x14ac:dyDescent="0.2">
      <c r="A6" s="904" t="s">
        <v>262</v>
      </c>
      <c r="B6" s="905"/>
      <c r="C6" s="316" t="s">
        <v>167</v>
      </c>
      <c r="D6" s="919">
        <v>0</v>
      </c>
      <c r="E6" s="919"/>
      <c r="F6" s="189">
        <v>0</v>
      </c>
      <c r="G6" s="189">
        <v>0</v>
      </c>
      <c r="H6" s="317">
        <f>+F6+G6</f>
        <v>0</v>
      </c>
    </row>
    <row r="7" spans="1:32" ht="13.5" thickBot="1" x14ac:dyDescent="0.25">
      <c r="A7" s="926" t="s">
        <v>246</v>
      </c>
      <c r="B7" s="927"/>
      <c r="C7" s="738"/>
      <c r="D7" s="928">
        <f>SUM(AB14:AB95)</f>
        <v>373104</v>
      </c>
      <c r="E7" s="928"/>
      <c r="F7" s="191">
        <f>SUM(AD14:AD95)</f>
        <v>1659171.2000000002</v>
      </c>
      <c r="G7" s="191">
        <f>SUM(AE14:AE95)</f>
        <v>315242.52800000011</v>
      </c>
      <c r="H7" s="694">
        <f>+F7+G7</f>
        <v>1974413.7280000004</v>
      </c>
    </row>
    <row r="8" spans="1:32" ht="13.5" thickBot="1" x14ac:dyDescent="0.25">
      <c r="A8" s="929" t="s">
        <v>76</v>
      </c>
      <c r="B8" s="930"/>
      <c r="C8" s="930"/>
      <c r="D8" s="930"/>
      <c r="E8" s="930"/>
      <c r="F8" s="444">
        <f>SUM(F3:F7)</f>
        <v>4264304.5999999996</v>
      </c>
      <c r="G8" s="444">
        <f>SUM(G3:G7)</f>
        <v>810217.87400000019</v>
      </c>
      <c r="H8" s="445">
        <f>SUM(H3:H7)</f>
        <v>5074522.4740000004</v>
      </c>
    </row>
    <row r="9" spans="1:32" x14ac:dyDescent="0.2">
      <c r="A9" s="931" t="s">
        <v>657</v>
      </c>
      <c r="B9" s="932"/>
      <c r="C9" s="932"/>
      <c r="D9" s="932"/>
      <c r="E9" s="932"/>
      <c r="F9" s="932"/>
      <c r="G9" s="933"/>
      <c r="H9" s="673">
        <f>177957.908+200316.87+117742.77</f>
        <v>496017.54800000001</v>
      </c>
    </row>
    <row r="10" spans="1:32" x14ac:dyDescent="0.2">
      <c r="A10" s="934" t="s">
        <v>247</v>
      </c>
      <c r="B10" s="935"/>
      <c r="C10" s="935"/>
      <c r="D10" s="935"/>
      <c r="E10" s="935"/>
      <c r="F10" s="935"/>
      <c r="G10" s="935"/>
      <c r="H10" s="319">
        <f>3675092.32+142530.832+200000+200000+200000+200000+150000+4758.046+200000+200000+200000</f>
        <v>5372381.1979999999</v>
      </c>
    </row>
    <row r="11" spans="1:32" x14ac:dyDescent="0.2">
      <c r="A11" s="923" t="s">
        <v>1069</v>
      </c>
      <c r="B11" s="924"/>
      <c r="C11" s="924"/>
      <c r="D11" s="924"/>
      <c r="E11" s="924"/>
      <c r="F11" s="924"/>
      <c r="G11" s="925"/>
      <c r="H11" s="695">
        <f>+(T14+T15+T16)*5*1.19</f>
        <v>42488.95</v>
      </c>
    </row>
    <row r="12" spans="1:32" ht="13.5" thickBot="1" x14ac:dyDescent="0.25">
      <c r="A12" s="921" t="s">
        <v>248</v>
      </c>
      <c r="B12" s="922"/>
      <c r="C12" s="922"/>
      <c r="D12" s="922"/>
      <c r="E12" s="922"/>
      <c r="F12" s="922"/>
      <c r="G12" s="922"/>
      <c r="H12" s="320">
        <f>H8+H9-H10-H11</f>
        <v>155669.87400000094</v>
      </c>
    </row>
    <row r="13" spans="1:32" ht="13.5" thickBot="1" x14ac:dyDescent="0.25">
      <c r="A13" s="250"/>
      <c r="C13" s="263"/>
      <c r="D13" s="180"/>
      <c r="E13" s="187"/>
      <c r="F13" s="187"/>
      <c r="G13" s="187"/>
      <c r="H13" s="187"/>
      <c r="P13" s="180"/>
    </row>
    <row r="14" spans="1:32" x14ac:dyDescent="0.2">
      <c r="A14" s="603">
        <v>43482</v>
      </c>
      <c r="B14" s="427" t="s">
        <v>597</v>
      </c>
      <c r="C14" s="428" t="s">
        <v>167</v>
      </c>
      <c r="D14" s="429">
        <v>31720</v>
      </c>
      <c r="E14" s="430">
        <v>1.45</v>
      </c>
      <c r="F14" s="430">
        <f t="shared" ref="F14:F19" si="0">+D14*E14</f>
        <v>45994</v>
      </c>
      <c r="G14" s="430">
        <f t="shared" ref="G14:G19" si="1">+F14*0.19</f>
        <v>8738.86</v>
      </c>
      <c r="H14" s="431">
        <f t="shared" ref="H14:H19" si="2">+F14+G14</f>
        <v>54732.86</v>
      </c>
      <c r="I14" s="603">
        <v>43468</v>
      </c>
      <c r="J14" s="427" t="s">
        <v>174</v>
      </c>
      <c r="K14" s="428" t="s">
        <v>167</v>
      </c>
      <c r="L14" s="429">
        <v>40420</v>
      </c>
      <c r="M14" s="430">
        <v>1.8</v>
      </c>
      <c r="N14" s="430">
        <f>+L14*M14</f>
        <v>72756</v>
      </c>
      <c r="O14" s="430">
        <f t="shared" ref="O14:O33" si="3">+N14*0.19</f>
        <v>13823.64</v>
      </c>
      <c r="P14" s="431">
        <f t="shared" ref="P14:P33" si="4">+N14+O14</f>
        <v>86579.64</v>
      </c>
      <c r="Q14" s="603">
        <v>43558</v>
      </c>
      <c r="R14" s="739" t="s">
        <v>707</v>
      </c>
      <c r="S14" s="429" t="s">
        <v>167</v>
      </c>
      <c r="T14" s="429">
        <v>768</v>
      </c>
      <c r="U14" s="430">
        <v>33</v>
      </c>
      <c r="V14" s="430">
        <f t="shared" ref="V14:V20" si="5">T14*U14</f>
        <v>25344</v>
      </c>
      <c r="W14" s="740">
        <f t="shared" ref="W14:W20" si="6">+V14*0.19</f>
        <v>4815.3599999999997</v>
      </c>
      <c r="X14" s="431">
        <f t="shared" ref="X14:X20" si="7">+V14+W14</f>
        <v>30159.360000000001</v>
      </c>
      <c r="Y14" s="603">
        <v>43467</v>
      </c>
      <c r="Z14" s="427" t="s">
        <v>266</v>
      </c>
      <c r="AA14" s="428" t="s">
        <v>167</v>
      </c>
      <c r="AB14" s="429">
        <v>3938</v>
      </c>
      <c r="AC14" s="430">
        <v>4.3</v>
      </c>
      <c r="AD14" s="430">
        <f t="shared" ref="AD14:AD31" si="8">+AB14*AC14</f>
        <v>16933.399999999998</v>
      </c>
      <c r="AE14" s="430">
        <f t="shared" ref="AE14:AE77" si="9">+AD14*0.19</f>
        <v>3217.3459999999995</v>
      </c>
      <c r="AF14" s="431">
        <f t="shared" ref="AF14:AF77" si="10">+AD14+AE14</f>
        <v>20150.745999999999</v>
      </c>
    </row>
    <row r="15" spans="1:32" x14ac:dyDescent="0.2">
      <c r="A15" s="604">
        <v>43524</v>
      </c>
      <c r="B15" s="266" t="s">
        <v>597</v>
      </c>
      <c r="C15" s="270" t="s">
        <v>167</v>
      </c>
      <c r="D15" s="271">
        <v>27020</v>
      </c>
      <c r="E15" s="272">
        <v>1.45</v>
      </c>
      <c r="F15" s="272">
        <f t="shared" si="0"/>
        <v>39179</v>
      </c>
      <c r="G15" s="272">
        <f t="shared" si="1"/>
        <v>7444.01</v>
      </c>
      <c r="H15" s="367">
        <f t="shared" si="2"/>
        <v>46623.01</v>
      </c>
      <c r="I15" s="604">
        <v>43483</v>
      </c>
      <c r="J15" s="266" t="s">
        <v>174</v>
      </c>
      <c r="K15" s="270" t="s">
        <v>167</v>
      </c>
      <c r="L15" s="271">
        <v>42220</v>
      </c>
      <c r="M15" s="272">
        <v>1.8</v>
      </c>
      <c r="N15" s="272">
        <f>+L15*M15</f>
        <v>75996</v>
      </c>
      <c r="O15" s="272">
        <f t="shared" si="3"/>
        <v>14439.24</v>
      </c>
      <c r="P15" s="367">
        <f t="shared" si="4"/>
        <v>90435.24</v>
      </c>
      <c r="Q15" s="604">
        <v>43563</v>
      </c>
      <c r="R15" s="452" t="s">
        <v>707</v>
      </c>
      <c r="S15" s="271" t="s">
        <v>167</v>
      </c>
      <c r="T15" s="271">
        <v>2091</v>
      </c>
      <c r="U15" s="272">
        <v>33</v>
      </c>
      <c r="V15" s="272">
        <f t="shared" si="5"/>
        <v>69003</v>
      </c>
      <c r="W15" s="187">
        <f t="shared" si="6"/>
        <v>13110.57</v>
      </c>
      <c r="X15" s="367">
        <f t="shared" si="7"/>
        <v>82113.570000000007</v>
      </c>
      <c r="Y15" s="604">
        <v>43472</v>
      </c>
      <c r="Z15" s="266" t="s">
        <v>266</v>
      </c>
      <c r="AA15" s="270" t="s">
        <v>167</v>
      </c>
      <c r="AB15" s="271">
        <v>6181</v>
      </c>
      <c r="AC15" s="272">
        <v>4.3</v>
      </c>
      <c r="AD15" s="272">
        <f t="shared" si="8"/>
        <v>26578.3</v>
      </c>
      <c r="AE15" s="272">
        <f t="shared" si="9"/>
        <v>5049.8769999999995</v>
      </c>
      <c r="AF15" s="367">
        <f t="shared" si="10"/>
        <v>31628.177</v>
      </c>
    </row>
    <row r="16" spans="1:32" x14ac:dyDescent="0.2">
      <c r="A16" s="604">
        <v>43574</v>
      </c>
      <c r="B16" s="266" t="s">
        <v>597</v>
      </c>
      <c r="C16" s="270" t="s">
        <v>167</v>
      </c>
      <c r="D16" s="271">
        <v>33320</v>
      </c>
      <c r="E16" s="272">
        <v>1.45</v>
      </c>
      <c r="F16" s="272">
        <f t="shared" si="0"/>
        <v>48314</v>
      </c>
      <c r="G16" s="272">
        <f t="shared" si="1"/>
        <v>9179.66</v>
      </c>
      <c r="H16" s="367">
        <f t="shared" si="2"/>
        <v>57493.66</v>
      </c>
      <c r="I16" s="604">
        <v>43568</v>
      </c>
      <c r="J16" s="452" t="s">
        <v>174</v>
      </c>
      <c r="K16" s="271" t="s">
        <v>167</v>
      </c>
      <c r="L16" s="271">
        <v>41740</v>
      </c>
      <c r="M16" s="272">
        <v>1.9</v>
      </c>
      <c r="N16" s="272">
        <f>+L16*M16</f>
        <v>79306</v>
      </c>
      <c r="O16" s="272">
        <f t="shared" si="3"/>
        <v>15068.14</v>
      </c>
      <c r="P16" s="367">
        <f t="shared" si="4"/>
        <v>94374.14</v>
      </c>
      <c r="Q16" s="604">
        <v>43642</v>
      </c>
      <c r="R16" s="452" t="s">
        <v>707</v>
      </c>
      <c r="S16" s="271" t="s">
        <v>167</v>
      </c>
      <c r="T16" s="271">
        <v>4282</v>
      </c>
      <c r="U16" s="272">
        <v>33</v>
      </c>
      <c r="V16" s="272">
        <f t="shared" si="5"/>
        <v>141306</v>
      </c>
      <c r="W16" s="187">
        <f t="shared" si="6"/>
        <v>26848.14</v>
      </c>
      <c r="X16" s="367">
        <f t="shared" si="7"/>
        <v>168154.14</v>
      </c>
      <c r="Y16" s="604">
        <v>43473</v>
      </c>
      <c r="Z16" s="266" t="s">
        <v>266</v>
      </c>
      <c r="AA16" s="270" t="s">
        <v>167</v>
      </c>
      <c r="AB16" s="271">
        <v>1347</v>
      </c>
      <c r="AC16" s="272">
        <v>4.3</v>
      </c>
      <c r="AD16" s="272">
        <f t="shared" si="8"/>
        <v>5792.0999999999995</v>
      </c>
      <c r="AE16" s="272">
        <f t="shared" si="9"/>
        <v>1100.4989999999998</v>
      </c>
      <c r="AF16" s="367">
        <f t="shared" si="10"/>
        <v>6892.5989999999993</v>
      </c>
    </row>
    <row r="17" spans="1:32" x14ac:dyDescent="0.2">
      <c r="A17" s="604">
        <v>43616</v>
      </c>
      <c r="B17" s="266" t="s">
        <v>597</v>
      </c>
      <c r="C17" s="270" t="s">
        <v>167</v>
      </c>
      <c r="D17" s="271">
        <v>27720</v>
      </c>
      <c r="E17" s="272">
        <v>1.45</v>
      </c>
      <c r="F17" s="272">
        <f t="shared" si="0"/>
        <v>40194</v>
      </c>
      <c r="G17" s="272">
        <f t="shared" si="1"/>
        <v>7636.86</v>
      </c>
      <c r="H17" s="367">
        <f t="shared" si="2"/>
        <v>47830.86</v>
      </c>
      <c r="I17" s="604">
        <v>43578</v>
      </c>
      <c r="J17" s="452" t="s">
        <v>174</v>
      </c>
      <c r="K17" s="271" t="s">
        <v>167</v>
      </c>
      <c r="L17" s="271">
        <v>43260</v>
      </c>
      <c r="M17" s="272">
        <v>1.9</v>
      </c>
      <c r="N17" s="272">
        <f t="shared" ref="N17:N33" si="11">L17*M17</f>
        <v>82194</v>
      </c>
      <c r="O17" s="187">
        <f t="shared" si="3"/>
        <v>15616.86</v>
      </c>
      <c r="P17" s="367">
        <f t="shared" si="4"/>
        <v>97810.86</v>
      </c>
      <c r="Q17" s="604">
        <v>43692</v>
      </c>
      <c r="R17" s="452" t="s">
        <v>590</v>
      </c>
      <c r="S17" s="271" t="s">
        <v>167</v>
      </c>
      <c r="T17" s="271">
        <v>4100</v>
      </c>
      <c r="U17" s="272">
        <v>33</v>
      </c>
      <c r="V17" s="272">
        <f t="shared" si="5"/>
        <v>135300</v>
      </c>
      <c r="W17" s="187">
        <f t="shared" si="6"/>
        <v>25707</v>
      </c>
      <c r="X17" s="367">
        <f t="shared" si="7"/>
        <v>161007</v>
      </c>
      <c r="Y17" s="604">
        <v>43476</v>
      </c>
      <c r="Z17" s="266" t="s">
        <v>266</v>
      </c>
      <c r="AA17" s="270" t="s">
        <v>167</v>
      </c>
      <c r="AB17" s="271">
        <v>1854</v>
      </c>
      <c r="AC17" s="272">
        <v>4.3</v>
      </c>
      <c r="AD17" s="272">
        <f t="shared" si="8"/>
        <v>7972.2</v>
      </c>
      <c r="AE17" s="272">
        <f t="shared" si="9"/>
        <v>1514.7180000000001</v>
      </c>
      <c r="AF17" s="367">
        <f t="shared" si="10"/>
        <v>9486.9179999999997</v>
      </c>
    </row>
    <row r="18" spans="1:32" x14ac:dyDescent="0.2">
      <c r="A18" s="604">
        <v>43741</v>
      </c>
      <c r="B18" s="266" t="s">
        <v>597</v>
      </c>
      <c r="C18" s="270" t="s">
        <v>167</v>
      </c>
      <c r="D18" s="271">
        <v>22120</v>
      </c>
      <c r="E18" s="272">
        <v>1.5</v>
      </c>
      <c r="F18" s="272">
        <f t="shared" si="0"/>
        <v>33180</v>
      </c>
      <c r="G18" s="272">
        <f t="shared" si="1"/>
        <v>6304.2</v>
      </c>
      <c r="H18" s="367">
        <f t="shared" si="2"/>
        <v>39484.199999999997</v>
      </c>
      <c r="I18" s="604">
        <v>43588</v>
      </c>
      <c r="J18" s="452" t="s">
        <v>174</v>
      </c>
      <c r="K18" s="271" t="s">
        <v>167</v>
      </c>
      <c r="L18" s="271">
        <v>40900</v>
      </c>
      <c r="M18" s="272">
        <v>1.9</v>
      </c>
      <c r="N18" s="272">
        <f t="shared" si="11"/>
        <v>77710</v>
      </c>
      <c r="O18" s="187">
        <f t="shared" si="3"/>
        <v>14764.9</v>
      </c>
      <c r="P18" s="367">
        <f t="shared" si="4"/>
        <v>92474.9</v>
      </c>
      <c r="Q18" s="741">
        <v>43738</v>
      </c>
      <c r="R18" s="742" t="s">
        <v>590</v>
      </c>
      <c r="S18" s="742" t="s">
        <v>167</v>
      </c>
      <c r="T18" s="674">
        <v>3544</v>
      </c>
      <c r="U18" s="675">
        <v>39.5</v>
      </c>
      <c r="V18" s="675">
        <f t="shared" si="5"/>
        <v>139988</v>
      </c>
      <c r="W18" s="676">
        <f t="shared" si="6"/>
        <v>26597.72</v>
      </c>
      <c r="X18" s="677">
        <f t="shared" si="7"/>
        <v>166585.72</v>
      </c>
      <c r="Y18" s="604">
        <v>43480</v>
      </c>
      <c r="Z18" s="266" t="s">
        <v>266</v>
      </c>
      <c r="AA18" s="270" t="s">
        <v>167</v>
      </c>
      <c r="AB18" s="271">
        <v>7782</v>
      </c>
      <c r="AC18" s="272">
        <v>4.3</v>
      </c>
      <c r="AD18" s="272">
        <f t="shared" si="8"/>
        <v>33462.6</v>
      </c>
      <c r="AE18" s="272">
        <f t="shared" si="9"/>
        <v>6357.8940000000002</v>
      </c>
      <c r="AF18" s="367">
        <f t="shared" si="10"/>
        <v>39820.493999999999</v>
      </c>
    </row>
    <row r="19" spans="1:32" x14ac:dyDescent="0.2">
      <c r="A19" s="604">
        <v>43773</v>
      </c>
      <c r="B19" s="266" t="s">
        <v>597</v>
      </c>
      <c r="C19" s="270" t="s">
        <v>167</v>
      </c>
      <c r="D19" s="271">
        <v>37860</v>
      </c>
      <c r="E19" s="272">
        <v>1.5</v>
      </c>
      <c r="F19" s="272">
        <f t="shared" si="0"/>
        <v>56790</v>
      </c>
      <c r="G19" s="272">
        <f t="shared" si="1"/>
        <v>10790.1</v>
      </c>
      <c r="H19" s="367">
        <f t="shared" si="2"/>
        <v>67580.100000000006</v>
      </c>
      <c r="I19" s="604">
        <v>43596</v>
      </c>
      <c r="J19" s="452" t="s">
        <v>174</v>
      </c>
      <c r="K19" s="271" t="s">
        <v>167</v>
      </c>
      <c r="L19" s="271">
        <v>42860</v>
      </c>
      <c r="M19" s="272">
        <v>1.9</v>
      </c>
      <c r="N19" s="272">
        <f t="shared" si="11"/>
        <v>81434</v>
      </c>
      <c r="O19" s="187">
        <f t="shared" si="3"/>
        <v>15472.460000000001</v>
      </c>
      <c r="P19" s="367">
        <f t="shared" si="4"/>
        <v>96906.46</v>
      </c>
      <c r="Q19" s="741">
        <v>43745</v>
      </c>
      <c r="R19" s="742" t="s">
        <v>590</v>
      </c>
      <c r="S19" s="742" t="s">
        <v>167</v>
      </c>
      <c r="T19" s="674">
        <v>2602</v>
      </c>
      <c r="U19" s="675">
        <v>39.5</v>
      </c>
      <c r="V19" s="675">
        <f t="shared" si="5"/>
        <v>102779</v>
      </c>
      <c r="W19" s="676">
        <f t="shared" si="6"/>
        <v>19528.010000000002</v>
      </c>
      <c r="X19" s="677">
        <f t="shared" si="7"/>
        <v>122307.01000000001</v>
      </c>
      <c r="Y19" s="604">
        <v>43481</v>
      </c>
      <c r="Z19" s="266" t="s">
        <v>266</v>
      </c>
      <c r="AA19" s="270" t="s">
        <v>167</v>
      </c>
      <c r="AB19" s="271">
        <v>2776</v>
      </c>
      <c r="AC19" s="272">
        <v>4.3</v>
      </c>
      <c r="AD19" s="272">
        <f t="shared" si="8"/>
        <v>11936.8</v>
      </c>
      <c r="AE19" s="272">
        <f t="shared" si="9"/>
        <v>2267.9919999999997</v>
      </c>
      <c r="AF19" s="367">
        <f t="shared" si="10"/>
        <v>14204.791999999999</v>
      </c>
    </row>
    <row r="20" spans="1:32" x14ac:dyDescent="0.2">
      <c r="A20" s="743"/>
      <c r="H20" s="744"/>
      <c r="I20" s="604">
        <v>43606</v>
      </c>
      <c r="J20" s="452" t="s">
        <v>174</v>
      </c>
      <c r="K20" s="271" t="s">
        <v>167</v>
      </c>
      <c r="L20" s="271">
        <v>41200</v>
      </c>
      <c r="M20" s="272">
        <v>1.9</v>
      </c>
      <c r="N20" s="272">
        <f t="shared" si="11"/>
        <v>78280</v>
      </c>
      <c r="O20" s="187">
        <f t="shared" si="3"/>
        <v>14873.2</v>
      </c>
      <c r="P20" s="367">
        <f t="shared" si="4"/>
        <v>93153.2</v>
      </c>
      <c r="Q20" s="745">
        <v>43832</v>
      </c>
      <c r="R20" s="15" t="s">
        <v>590</v>
      </c>
      <c r="S20" s="15" t="s">
        <v>167</v>
      </c>
      <c r="T20" s="187">
        <v>1787</v>
      </c>
      <c r="U20" s="187">
        <v>33</v>
      </c>
      <c r="V20" s="187">
        <f t="shared" si="5"/>
        <v>58971</v>
      </c>
      <c r="W20" s="187">
        <f t="shared" si="6"/>
        <v>11204.49</v>
      </c>
      <c r="X20" s="903">
        <f t="shared" si="7"/>
        <v>70175.490000000005</v>
      </c>
      <c r="Y20" s="604">
        <v>43482</v>
      </c>
      <c r="Z20" s="266" t="s">
        <v>266</v>
      </c>
      <c r="AA20" s="270" t="s">
        <v>167</v>
      </c>
      <c r="AB20" s="271">
        <v>2510</v>
      </c>
      <c r="AC20" s="272">
        <v>4.5</v>
      </c>
      <c r="AD20" s="272">
        <f t="shared" si="8"/>
        <v>11295</v>
      </c>
      <c r="AE20" s="272">
        <f t="shared" si="9"/>
        <v>2146.0500000000002</v>
      </c>
      <c r="AF20" s="367">
        <f t="shared" si="10"/>
        <v>13441.05</v>
      </c>
    </row>
    <row r="21" spans="1:32" x14ac:dyDescent="0.2">
      <c r="A21" s="743"/>
      <c r="H21" s="744"/>
      <c r="I21" s="604">
        <v>43617</v>
      </c>
      <c r="J21" s="452" t="s">
        <v>174</v>
      </c>
      <c r="K21" s="271" t="s">
        <v>167</v>
      </c>
      <c r="L21" s="271">
        <v>39700</v>
      </c>
      <c r="M21" s="272">
        <v>1.9</v>
      </c>
      <c r="N21" s="272">
        <f t="shared" si="11"/>
        <v>75430</v>
      </c>
      <c r="O21" s="187">
        <f t="shared" si="3"/>
        <v>14331.7</v>
      </c>
      <c r="P21" s="367">
        <f t="shared" si="4"/>
        <v>89761.7</v>
      </c>
      <c r="Q21" s="745"/>
      <c r="T21" s="187"/>
      <c r="U21" s="187"/>
      <c r="X21" s="744"/>
      <c r="Y21" s="604">
        <v>43483</v>
      </c>
      <c r="Z21" s="266" t="s">
        <v>266</v>
      </c>
      <c r="AA21" s="270" t="s">
        <v>167</v>
      </c>
      <c r="AB21" s="271">
        <v>1997</v>
      </c>
      <c r="AC21" s="272">
        <v>4.5</v>
      </c>
      <c r="AD21" s="272">
        <f t="shared" si="8"/>
        <v>8986.5</v>
      </c>
      <c r="AE21" s="272">
        <f t="shared" si="9"/>
        <v>1707.4349999999999</v>
      </c>
      <c r="AF21" s="367">
        <f t="shared" si="10"/>
        <v>10693.934999999999</v>
      </c>
    </row>
    <row r="22" spans="1:32" x14ac:dyDescent="0.2">
      <c r="A22" s="743"/>
      <c r="H22" s="744"/>
      <c r="I22" s="604">
        <v>43642</v>
      </c>
      <c r="J22" s="452" t="s">
        <v>174</v>
      </c>
      <c r="K22" s="271" t="s">
        <v>167</v>
      </c>
      <c r="L22" s="271">
        <v>42180</v>
      </c>
      <c r="M22" s="272">
        <v>1.9</v>
      </c>
      <c r="N22" s="272">
        <f t="shared" si="11"/>
        <v>80142</v>
      </c>
      <c r="O22" s="187">
        <f t="shared" si="3"/>
        <v>15226.98</v>
      </c>
      <c r="P22" s="367">
        <f t="shared" si="4"/>
        <v>95368.98</v>
      </c>
      <c r="Q22" s="745"/>
      <c r="T22" s="187"/>
      <c r="U22" s="187"/>
      <c r="X22" s="744"/>
      <c r="Y22" s="604">
        <v>43489</v>
      </c>
      <c r="Z22" s="266" t="s">
        <v>266</v>
      </c>
      <c r="AA22" s="270" t="s">
        <v>167</v>
      </c>
      <c r="AB22" s="271">
        <v>1286</v>
      </c>
      <c r="AC22" s="272">
        <v>4.5</v>
      </c>
      <c r="AD22" s="272">
        <f t="shared" si="8"/>
        <v>5787</v>
      </c>
      <c r="AE22" s="272">
        <f t="shared" si="9"/>
        <v>1099.53</v>
      </c>
      <c r="AF22" s="367">
        <f t="shared" si="10"/>
        <v>6886.53</v>
      </c>
    </row>
    <row r="23" spans="1:32" x14ac:dyDescent="0.2">
      <c r="A23" s="743"/>
      <c r="H23" s="744"/>
      <c r="I23" s="604">
        <v>43657</v>
      </c>
      <c r="J23" s="452" t="s">
        <v>174</v>
      </c>
      <c r="K23" s="271" t="s">
        <v>167</v>
      </c>
      <c r="L23" s="271">
        <v>39040</v>
      </c>
      <c r="M23" s="272">
        <v>2</v>
      </c>
      <c r="N23" s="272">
        <f t="shared" si="11"/>
        <v>78080</v>
      </c>
      <c r="O23" s="187">
        <f t="shared" si="3"/>
        <v>14835.2</v>
      </c>
      <c r="P23" s="367">
        <f t="shared" si="4"/>
        <v>92915.199999999997</v>
      </c>
      <c r="Q23" s="745"/>
      <c r="T23" s="187"/>
      <c r="U23" s="187"/>
      <c r="W23" s="187"/>
      <c r="X23" s="744"/>
      <c r="Y23" s="604">
        <v>43495</v>
      </c>
      <c r="Z23" s="266" t="s">
        <v>266</v>
      </c>
      <c r="AA23" s="270" t="s">
        <v>167</v>
      </c>
      <c r="AB23" s="271">
        <v>3574</v>
      </c>
      <c r="AC23" s="272">
        <v>4.5</v>
      </c>
      <c r="AD23" s="272">
        <f t="shared" si="8"/>
        <v>16083</v>
      </c>
      <c r="AE23" s="272">
        <f t="shared" si="9"/>
        <v>3055.77</v>
      </c>
      <c r="AF23" s="367">
        <f t="shared" si="10"/>
        <v>19138.77</v>
      </c>
    </row>
    <row r="24" spans="1:32" x14ac:dyDescent="0.2">
      <c r="A24" s="743"/>
      <c r="H24" s="744"/>
      <c r="I24" s="604">
        <v>43686</v>
      </c>
      <c r="J24" s="452" t="s">
        <v>174</v>
      </c>
      <c r="K24" s="271" t="s">
        <v>167</v>
      </c>
      <c r="L24" s="271">
        <v>40980</v>
      </c>
      <c r="M24" s="272">
        <v>2.1</v>
      </c>
      <c r="N24" s="272">
        <f t="shared" si="11"/>
        <v>86058</v>
      </c>
      <c r="O24" s="187">
        <f t="shared" si="3"/>
        <v>16351.02</v>
      </c>
      <c r="P24" s="367">
        <f t="shared" si="4"/>
        <v>102409.02</v>
      </c>
      <c r="Q24" s="745"/>
      <c r="S24" s="180"/>
      <c r="X24" s="744"/>
      <c r="Y24" s="604">
        <v>43511</v>
      </c>
      <c r="Z24" s="266" t="s">
        <v>266</v>
      </c>
      <c r="AA24" s="270" t="s">
        <v>167</v>
      </c>
      <c r="AB24" s="271">
        <v>2428</v>
      </c>
      <c r="AC24" s="272">
        <v>4.5</v>
      </c>
      <c r="AD24" s="272">
        <f t="shared" si="8"/>
        <v>10926</v>
      </c>
      <c r="AE24" s="272">
        <f t="shared" si="9"/>
        <v>2075.94</v>
      </c>
      <c r="AF24" s="367">
        <f t="shared" si="10"/>
        <v>13001.94</v>
      </c>
    </row>
    <row r="25" spans="1:32" x14ac:dyDescent="0.2">
      <c r="A25" s="743"/>
      <c r="H25" s="744"/>
      <c r="I25" s="604">
        <v>43712</v>
      </c>
      <c r="J25" s="452" t="s">
        <v>174</v>
      </c>
      <c r="K25" s="271" t="s">
        <v>167</v>
      </c>
      <c r="L25" s="271">
        <v>41780</v>
      </c>
      <c r="M25" s="272">
        <v>2.1</v>
      </c>
      <c r="N25" s="272">
        <f t="shared" si="11"/>
        <v>87738</v>
      </c>
      <c r="O25" s="187">
        <f t="shared" si="3"/>
        <v>16670.22</v>
      </c>
      <c r="P25" s="367">
        <f t="shared" si="4"/>
        <v>104408.22</v>
      </c>
      <c r="Q25" s="745"/>
      <c r="X25" s="744"/>
      <c r="Y25" s="604">
        <v>43514</v>
      </c>
      <c r="Z25" s="266" t="s">
        <v>266</v>
      </c>
      <c r="AA25" s="270" t="s">
        <v>167</v>
      </c>
      <c r="AB25" s="271">
        <v>2570</v>
      </c>
      <c r="AC25" s="272">
        <v>4.5</v>
      </c>
      <c r="AD25" s="272">
        <f t="shared" si="8"/>
        <v>11565</v>
      </c>
      <c r="AE25" s="272">
        <f t="shared" si="9"/>
        <v>2197.35</v>
      </c>
      <c r="AF25" s="367">
        <f t="shared" si="10"/>
        <v>13762.35</v>
      </c>
    </row>
    <row r="26" spans="1:32" x14ac:dyDescent="0.2">
      <c r="A26" s="743"/>
      <c r="H26" s="744"/>
      <c r="I26" s="604">
        <v>43736</v>
      </c>
      <c r="J26" s="452" t="s">
        <v>174</v>
      </c>
      <c r="K26" s="271" t="s">
        <v>167</v>
      </c>
      <c r="L26" s="271">
        <v>43080</v>
      </c>
      <c r="M26" s="272">
        <v>2.1</v>
      </c>
      <c r="N26" s="272">
        <f t="shared" si="11"/>
        <v>90468</v>
      </c>
      <c r="O26" s="187">
        <f t="shared" si="3"/>
        <v>17188.920000000002</v>
      </c>
      <c r="P26" s="367">
        <f t="shared" si="4"/>
        <v>107656.92</v>
      </c>
      <c r="Q26" s="745"/>
      <c r="X26" s="744"/>
      <c r="Y26" s="604">
        <v>43516</v>
      </c>
      <c r="Z26" s="266" t="s">
        <v>266</v>
      </c>
      <c r="AA26" s="270" t="s">
        <v>167</v>
      </c>
      <c r="AB26" s="271">
        <v>5054</v>
      </c>
      <c r="AC26" s="272">
        <v>4.5</v>
      </c>
      <c r="AD26" s="272">
        <f t="shared" si="8"/>
        <v>22743</v>
      </c>
      <c r="AE26" s="272">
        <f t="shared" si="9"/>
        <v>4321.17</v>
      </c>
      <c r="AF26" s="367">
        <f t="shared" si="10"/>
        <v>27064.17</v>
      </c>
    </row>
    <row r="27" spans="1:32" x14ac:dyDescent="0.2">
      <c r="A27" s="743"/>
      <c r="H27" s="744"/>
      <c r="I27" s="604">
        <v>43753</v>
      </c>
      <c r="J27" s="452" t="s">
        <v>174</v>
      </c>
      <c r="K27" s="271" t="s">
        <v>167</v>
      </c>
      <c r="L27" s="271">
        <v>41680</v>
      </c>
      <c r="M27" s="272">
        <v>2.1</v>
      </c>
      <c r="N27" s="272">
        <f t="shared" si="11"/>
        <v>87528</v>
      </c>
      <c r="O27" s="187">
        <f t="shared" si="3"/>
        <v>16630.32</v>
      </c>
      <c r="P27" s="367">
        <f t="shared" si="4"/>
        <v>104158.32</v>
      </c>
      <c r="Q27" s="745"/>
      <c r="U27" s="187"/>
      <c r="X27" s="744"/>
      <c r="Y27" s="604">
        <v>43518</v>
      </c>
      <c r="Z27" s="266" t="s">
        <v>266</v>
      </c>
      <c r="AA27" s="270" t="s">
        <v>167</v>
      </c>
      <c r="AB27" s="271">
        <v>2298</v>
      </c>
      <c r="AC27" s="272">
        <v>4.5</v>
      </c>
      <c r="AD27" s="272">
        <f t="shared" si="8"/>
        <v>10341</v>
      </c>
      <c r="AE27" s="272">
        <f t="shared" si="9"/>
        <v>1964.79</v>
      </c>
      <c r="AF27" s="367">
        <f t="shared" si="10"/>
        <v>12305.79</v>
      </c>
    </row>
    <row r="28" spans="1:32" x14ac:dyDescent="0.2">
      <c r="A28" s="743"/>
      <c r="H28" s="744"/>
      <c r="I28" s="604">
        <v>43771</v>
      </c>
      <c r="J28" s="452" t="s">
        <v>174</v>
      </c>
      <c r="K28" s="271" t="s">
        <v>167</v>
      </c>
      <c r="L28" s="271">
        <v>38360</v>
      </c>
      <c r="M28" s="272">
        <v>2.2000000000000002</v>
      </c>
      <c r="N28" s="272">
        <f t="shared" si="11"/>
        <v>84392</v>
      </c>
      <c r="O28" s="187">
        <f t="shared" si="3"/>
        <v>16034.48</v>
      </c>
      <c r="P28" s="367">
        <f t="shared" si="4"/>
        <v>100426.48</v>
      </c>
      <c r="Q28" s="745"/>
      <c r="X28" s="744"/>
      <c r="Y28" s="604">
        <v>43521</v>
      </c>
      <c r="Z28" s="266" t="s">
        <v>266</v>
      </c>
      <c r="AA28" s="270" t="s">
        <v>167</v>
      </c>
      <c r="AB28" s="271">
        <v>5067</v>
      </c>
      <c r="AC28" s="272">
        <v>4.5</v>
      </c>
      <c r="AD28" s="272">
        <f t="shared" si="8"/>
        <v>22801.5</v>
      </c>
      <c r="AE28" s="272">
        <f t="shared" si="9"/>
        <v>4332.2849999999999</v>
      </c>
      <c r="AF28" s="367">
        <f t="shared" si="10"/>
        <v>27133.785</v>
      </c>
    </row>
    <row r="29" spans="1:32" x14ac:dyDescent="0.2">
      <c r="A29" s="743"/>
      <c r="H29" s="744"/>
      <c r="I29" s="604">
        <v>43790</v>
      </c>
      <c r="J29" s="15" t="s">
        <v>174</v>
      </c>
      <c r="K29" s="15" t="s">
        <v>167</v>
      </c>
      <c r="L29" s="271">
        <v>39400</v>
      </c>
      <c r="M29" s="272">
        <v>2.2000000000000002</v>
      </c>
      <c r="N29" s="272">
        <f t="shared" si="11"/>
        <v>86680</v>
      </c>
      <c r="O29" s="187">
        <f t="shared" si="3"/>
        <v>16469.2</v>
      </c>
      <c r="P29" s="367">
        <f t="shared" si="4"/>
        <v>103149.2</v>
      </c>
      <c r="Q29" s="745"/>
      <c r="U29" s="187"/>
      <c r="X29" s="744"/>
      <c r="Y29" s="604">
        <v>43524</v>
      </c>
      <c r="Z29" s="266" t="s">
        <v>266</v>
      </c>
      <c r="AA29" s="270" t="s">
        <v>167</v>
      </c>
      <c r="AB29" s="271">
        <v>9087</v>
      </c>
      <c r="AC29" s="272">
        <v>4.5</v>
      </c>
      <c r="AD29" s="272">
        <f t="shared" si="8"/>
        <v>40891.5</v>
      </c>
      <c r="AE29" s="272">
        <f t="shared" si="9"/>
        <v>7769.3850000000002</v>
      </c>
      <c r="AF29" s="367">
        <f t="shared" si="10"/>
        <v>48660.885000000002</v>
      </c>
    </row>
    <row r="30" spans="1:32" x14ac:dyDescent="0.2">
      <c r="A30" s="743"/>
      <c r="H30" s="744"/>
      <c r="I30" s="604">
        <v>43802</v>
      </c>
      <c r="J30" s="15" t="s">
        <v>174</v>
      </c>
      <c r="K30" s="15" t="s">
        <v>167</v>
      </c>
      <c r="L30" s="271">
        <v>41500</v>
      </c>
      <c r="M30" s="272">
        <v>2.2000000000000002</v>
      </c>
      <c r="N30" s="272">
        <f t="shared" si="11"/>
        <v>91300.000000000015</v>
      </c>
      <c r="O30" s="187">
        <f t="shared" si="3"/>
        <v>17347.000000000004</v>
      </c>
      <c r="P30" s="367">
        <f t="shared" si="4"/>
        <v>108647.00000000001</v>
      </c>
      <c r="Q30" s="745"/>
      <c r="U30" s="187"/>
      <c r="X30" s="744"/>
      <c r="Y30" s="604">
        <v>43558</v>
      </c>
      <c r="Z30" s="266" t="s">
        <v>266</v>
      </c>
      <c r="AA30" s="270" t="s">
        <v>167</v>
      </c>
      <c r="AB30" s="271">
        <v>2334</v>
      </c>
      <c r="AC30" s="272">
        <v>4.5</v>
      </c>
      <c r="AD30" s="272">
        <f t="shared" si="8"/>
        <v>10503</v>
      </c>
      <c r="AE30" s="272">
        <f t="shared" si="9"/>
        <v>1995.57</v>
      </c>
      <c r="AF30" s="367">
        <f t="shared" si="10"/>
        <v>12498.57</v>
      </c>
    </row>
    <row r="31" spans="1:32" x14ac:dyDescent="0.2">
      <c r="A31" s="743"/>
      <c r="H31" s="744"/>
      <c r="I31" s="604">
        <v>43817</v>
      </c>
      <c r="J31" s="15" t="s">
        <v>174</v>
      </c>
      <c r="K31" s="15" t="s">
        <v>167</v>
      </c>
      <c r="L31" s="271">
        <v>40500</v>
      </c>
      <c r="M31" s="272">
        <v>2.2000000000000002</v>
      </c>
      <c r="N31" s="272">
        <f t="shared" si="11"/>
        <v>89100</v>
      </c>
      <c r="O31" s="187">
        <f t="shared" si="3"/>
        <v>16929</v>
      </c>
      <c r="P31" s="367">
        <f t="shared" si="4"/>
        <v>106029</v>
      </c>
      <c r="Q31" s="745"/>
      <c r="U31" s="187"/>
      <c r="X31" s="744"/>
      <c r="Y31" s="604">
        <v>43563</v>
      </c>
      <c r="Z31" s="266" t="s">
        <v>266</v>
      </c>
      <c r="AA31" s="270" t="s">
        <v>167</v>
      </c>
      <c r="AB31" s="271">
        <v>5570</v>
      </c>
      <c r="AC31" s="272">
        <v>4.5</v>
      </c>
      <c r="AD31" s="272">
        <f t="shared" si="8"/>
        <v>25065</v>
      </c>
      <c r="AE31" s="272">
        <f t="shared" si="9"/>
        <v>4762.3500000000004</v>
      </c>
      <c r="AF31" s="367">
        <f t="shared" si="10"/>
        <v>29827.35</v>
      </c>
    </row>
    <row r="32" spans="1:32" x14ac:dyDescent="0.2">
      <c r="A32" s="743"/>
      <c r="H32" s="744"/>
      <c r="I32" s="604">
        <v>43833</v>
      </c>
      <c r="J32" s="15" t="s">
        <v>174</v>
      </c>
      <c r="K32" s="15" t="s">
        <v>167</v>
      </c>
      <c r="L32" s="271">
        <v>41765</v>
      </c>
      <c r="M32" s="272">
        <v>2.2000000000000002</v>
      </c>
      <c r="N32" s="272">
        <f t="shared" si="11"/>
        <v>91883.000000000015</v>
      </c>
      <c r="O32" s="187">
        <f t="shared" si="3"/>
        <v>17457.770000000004</v>
      </c>
      <c r="P32" s="367">
        <f t="shared" si="4"/>
        <v>109340.77000000002</v>
      </c>
      <c r="Q32" s="745"/>
      <c r="U32" s="187"/>
      <c r="X32" s="744"/>
      <c r="Y32" s="604">
        <v>43570</v>
      </c>
      <c r="Z32" s="452" t="s">
        <v>266</v>
      </c>
      <c r="AA32" s="271" t="s">
        <v>167</v>
      </c>
      <c r="AB32" s="271">
        <v>6519</v>
      </c>
      <c r="AC32" s="272">
        <v>4.5</v>
      </c>
      <c r="AD32" s="272">
        <f t="shared" ref="AD32:AD90" si="12">AB32*AC32</f>
        <v>29335.5</v>
      </c>
      <c r="AE32" s="187">
        <f t="shared" si="9"/>
        <v>5573.7449999999999</v>
      </c>
      <c r="AF32" s="367">
        <f t="shared" si="10"/>
        <v>34909.245000000003</v>
      </c>
    </row>
    <row r="33" spans="1:32" x14ac:dyDescent="0.2">
      <c r="A33" s="743"/>
      <c r="H33" s="744"/>
      <c r="I33" s="604">
        <v>43847</v>
      </c>
      <c r="J33" s="15" t="s">
        <v>174</v>
      </c>
      <c r="K33" s="15" t="s">
        <v>167</v>
      </c>
      <c r="L33" s="271">
        <v>41962</v>
      </c>
      <c r="M33" s="272">
        <v>2.2000000000000002</v>
      </c>
      <c r="N33" s="272">
        <f t="shared" si="11"/>
        <v>92316.400000000009</v>
      </c>
      <c r="O33" s="187">
        <f t="shared" si="3"/>
        <v>17540.116000000002</v>
      </c>
      <c r="P33" s="367">
        <f t="shared" si="4"/>
        <v>109856.516</v>
      </c>
      <c r="Q33" s="745"/>
      <c r="U33" s="187"/>
      <c r="X33" s="744"/>
      <c r="Y33" s="604">
        <v>43573</v>
      </c>
      <c r="Z33" s="452" t="s">
        <v>266</v>
      </c>
      <c r="AA33" s="271" t="s">
        <v>167</v>
      </c>
      <c r="AB33" s="271">
        <v>3652</v>
      </c>
      <c r="AC33" s="272">
        <v>4.5</v>
      </c>
      <c r="AD33" s="272">
        <f t="shared" si="12"/>
        <v>16434</v>
      </c>
      <c r="AE33" s="187">
        <f t="shared" si="9"/>
        <v>3122.46</v>
      </c>
      <c r="AF33" s="367">
        <f t="shared" si="10"/>
        <v>19556.46</v>
      </c>
    </row>
    <row r="34" spans="1:32" x14ac:dyDescent="0.2">
      <c r="A34" s="743"/>
      <c r="H34" s="744"/>
      <c r="I34" s="604"/>
      <c r="L34" s="271"/>
      <c r="M34" s="272"/>
      <c r="N34" s="272"/>
      <c r="O34" s="187"/>
      <c r="P34" s="367"/>
      <c r="Q34" s="745"/>
      <c r="U34" s="187"/>
      <c r="X34" s="744"/>
      <c r="Y34" s="604">
        <v>43574</v>
      </c>
      <c r="Z34" s="452" t="s">
        <v>266</v>
      </c>
      <c r="AA34" s="271" t="s">
        <v>167</v>
      </c>
      <c r="AB34" s="271">
        <v>4299</v>
      </c>
      <c r="AC34" s="272">
        <v>4.5</v>
      </c>
      <c r="AD34" s="272">
        <f t="shared" si="12"/>
        <v>19345.5</v>
      </c>
      <c r="AE34" s="187">
        <f t="shared" si="9"/>
        <v>3675.645</v>
      </c>
      <c r="AF34" s="367">
        <f t="shared" si="10"/>
        <v>23021.145</v>
      </c>
    </row>
    <row r="35" spans="1:32" x14ac:dyDescent="0.2">
      <c r="A35" s="743"/>
      <c r="H35" s="744"/>
      <c r="I35" s="604"/>
      <c r="L35" s="271"/>
      <c r="M35" s="272"/>
      <c r="N35" s="272"/>
      <c r="O35" s="187"/>
      <c r="P35" s="367"/>
      <c r="Q35" s="745"/>
      <c r="U35" s="187"/>
      <c r="X35" s="744"/>
      <c r="Y35" s="604">
        <v>43574</v>
      </c>
      <c r="Z35" s="452" t="s">
        <v>266</v>
      </c>
      <c r="AA35" s="271" t="s">
        <v>167</v>
      </c>
      <c r="AB35" s="271">
        <v>2561</v>
      </c>
      <c r="AC35" s="272">
        <v>4.5</v>
      </c>
      <c r="AD35" s="272">
        <f t="shared" si="12"/>
        <v>11524.5</v>
      </c>
      <c r="AE35" s="187">
        <f t="shared" si="9"/>
        <v>2189.6550000000002</v>
      </c>
      <c r="AF35" s="367">
        <f t="shared" si="10"/>
        <v>13714.155000000001</v>
      </c>
    </row>
    <row r="36" spans="1:32" ht="13.5" thickBot="1" x14ac:dyDescent="0.25">
      <c r="A36" s="746"/>
      <c r="B36" s="361"/>
      <c r="C36" s="361"/>
      <c r="D36" s="361"/>
      <c r="E36" s="361"/>
      <c r="F36" s="361"/>
      <c r="G36" s="361"/>
      <c r="H36" s="747"/>
      <c r="I36" s="746"/>
      <c r="J36" s="361"/>
      <c r="K36" s="361"/>
      <c r="L36" s="361"/>
      <c r="M36" s="361"/>
      <c r="N36" s="361"/>
      <c r="O36" s="361"/>
      <c r="P36" s="747"/>
      <c r="Q36" s="512"/>
      <c r="R36" s="361"/>
      <c r="S36" s="363"/>
      <c r="T36" s="361"/>
      <c r="U36" s="361"/>
      <c r="V36" s="361"/>
      <c r="W36" s="361"/>
      <c r="X36" s="747"/>
      <c r="Y36" s="604">
        <v>43578</v>
      </c>
      <c r="Z36" s="452" t="s">
        <v>266</v>
      </c>
      <c r="AA36" s="271" t="s">
        <v>167</v>
      </c>
      <c r="AB36" s="271">
        <v>1300</v>
      </c>
      <c r="AC36" s="272">
        <v>4.5</v>
      </c>
      <c r="AD36" s="272">
        <f t="shared" si="12"/>
        <v>5850</v>
      </c>
      <c r="AE36" s="187">
        <f t="shared" si="9"/>
        <v>1111.5</v>
      </c>
      <c r="AF36" s="367">
        <f t="shared" si="10"/>
        <v>6961.5</v>
      </c>
    </row>
    <row r="37" spans="1:32" x14ac:dyDescent="0.2">
      <c r="Y37" s="604">
        <v>43582</v>
      </c>
      <c r="Z37" s="452" t="s">
        <v>266</v>
      </c>
      <c r="AA37" s="271" t="s">
        <v>167</v>
      </c>
      <c r="AB37" s="271">
        <v>5577</v>
      </c>
      <c r="AC37" s="272">
        <v>4.5</v>
      </c>
      <c r="AD37" s="272">
        <f t="shared" si="12"/>
        <v>25096.5</v>
      </c>
      <c r="AE37" s="187">
        <f t="shared" si="9"/>
        <v>4768.335</v>
      </c>
      <c r="AF37" s="367">
        <f t="shared" si="10"/>
        <v>29864.834999999999</v>
      </c>
    </row>
    <row r="38" spans="1:32" x14ac:dyDescent="0.2">
      <c r="K38" s="187"/>
      <c r="Y38" s="604">
        <v>43585</v>
      </c>
      <c r="Z38" s="452" t="s">
        <v>266</v>
      </c>
      <c r="AA38" s="271" t="s">
        <v>167</v>
      </c>
      <c r="AB38" s="272">
        <v>4454</v>
      </c>
      <c r="AC38" s="272">
        <v>4.5</v>
      </c>
      <c r="AD38" s="272">
        <f t="shared" si="12"/>
        <v>20043</v>
      </c>
      <c r="AE38" s="187">
        <f t="shared" si="9"/>
        <v>3808.17</v>
      </c>
      <c r="AF38" s="367">
        <f t="shared" si="10"/>
        <v>23851.17</v>
      </c>
    </row>
    <row r="39" spans="1:32" x14ac:dyDescent="0.2">
      <c r="T39" s="180"/>
      <c r="Y39" s="604">
        <v>43592</v>
      </c>
      <c r="Z39" s="266" t="s">
        <v>266</v>
      </c>
      <c r="AA39" s="271" t="s">
        <v>167</v>
      </c>
      <c r="AB39" s="272">
        <v>1040</v>
      </c>
      <c r="AC39" s="272">
        <v>4.4000000000000004</v>
      </c>
      <c r="AD39" s="272">
        <f t="shared" si="12"/>
        <v>4576</v>
      </c>
      <c r="AE39" s="187">
        <f t="shared" si="9"/>
        <v>869.44</v>
      </c>
      <c r="AF39" s="367">
        <f t="shared" si="10"/>
        <v>5445.4400000000005</v>
      </c>
    </row>
    <row r="40" spans="1:32" x14ac:dyDescent="0.2">
      <c r="K40" s="180"/>
      <c r="V40" s="187"/>
      <c r="Y40" s="604">
        <v>43598</v>
      </c>
      <c r="Z40" s="266" t="s">
        <v>266</v>
      </c>
      <c r="AA40" s="271" t="s">
        <v>167</v>
      </c>
      <c r="AB40" s="272">
        <v>2608</v>
      </c>
      <c r="AC40" s="272">
        <v>4.4000000000000004</v>
      </c>
      <c r="AD40" s="272">
        <f t="shared" si="12"/>
        <v>11475.2</v>
      </c>
      <c r="AE40" s="187">
        <f t="shared" si="9"/>
        <v>2180.288</v>
      </c>
      <c r="AF40" s="367">
        <f t="shared" si="10"/>
        <v>13655.488000000001</v>
      </c>
    </row>
    <row r="41" spans="1:32" x14ac:dyDescent="0.2">
      <c r="Y41" s="604">
        <v>43601</v>
      </c>
      <c r="Z41" s="266" t="s">
        <v>266</v>
      </c>
      <c r="AA41" s="270" t="s">
        <v>167</v>
      </c>
      <c r="AB41" s="271">
        <v>6423</v>
      </c>
      <c r="AC41" s="272">
        <v>4.4000000000000004</v>
      </c>
      <c r="AD41" s="272">
        <f t="shared" si="12"/>
        <v>28261.200000000001</v>
      </c>
      <c r="AE41" s="272">
        <f t="shared" si="9"/>
        <v>5369.6280000000006</v>
      </c>
      <c r="AF41" s="367">
        <f t="shared" si="10"/>
        <v>33630.828000000001</v>
      </c>
    </row>
    <row r="42" spans="1:32" x14ac:dyDescent="0.2">
      <c r="P42" s="187"/>
      <c r="Y42" s="604">
        <v>43602</v>
      </c>
      <c r="Z42" s="266" t="s">
        <v>266</v>
      </c>
      <c r="AA42" s="270" t="s">
        <v>167</v>
      </c>
      <c r="AB42" s="271">
        <v>3593</v>
      </c>
      <c r="AC42" s="272">
        <v>4.4000000000000004</v>
      </c>
      <c r="AD42" s="272">
        <f t="shared" si="12"/>
        <v>15809.2</v>
      </c>
      <c r="AE42" s="272">
        <f t="shared" si="9"/>
        <v>3003.748</v>
      </c>
      <c r="AF42" s="367">
        <f t="shared" si="10"/>
        <v>18812.948</v>
      </c>
    </row>
    <row r="43" spans="1:32" x14ac:dyDescent="0.2">
      <c r="P43" s="187"/>
      <c r="Y43" s="604">
        <v>43605</v>
      </c>
      <c r="Z43" s="266" t="s">
        <v>266</v>
      </c>
      <c r="AA43" s="270" t="s">
        <v>167</v>
      </c>
      <c r="AB43" s="271">
        <v>5908</v>
      </c>
      <c r="AC43" s="272">
        <v>4.4000000000000004</v>
      </c>
      <c r="AD43" s="272">
        <f t="shared" si="12"/>
        <v>25995.200000000001</v>
      </c>
      <c r="AE43" s="272">
        <f t="shared" si="9"/>
        <v>4939.0880000000006</v>
      </c>
      <c r="AF43" s="367">
        <f t="shared" si="10"/>
        <v>30934.288</v>
      </c>
    </row>
    <row r="44" spans="1:32" x14ac:dyDescent="0.2">
      <c r="Y44" s="604">
        <v>43606</v>
      </c>
      <c r="Z44" s="266" t="s">
        <v>266</v>
      </c>
      <c r="AA44" s="270" t="s">
        <v>167</v>
      </c>
      <c r="AB44" s="271">
        <v>2536</v>
      </c>
      <c r="AC44" s="272">
        <v>4.4000000000000004</v>
      </c>
      <c r="AD44" s="272">
        <f t="shared" si="12"/>
        <v>11158.400000000001</v>
      </c>
      <c r="AE44" s="272">
        <f t="shared" si="9"/>
        <v>2120.0960000000005</v>
      </c>
      <c r="AF44" s="367">
        <f t="shared" si="10"/>
        <v>13278.496000000003</v>
      </c>
    </row>
    <row r="45" spans="1:32" x14ac:dyDescent="0.2">
      <c r="Y45" s="604">
        <v>43612</v>
      </c>
      <c r="Z45" s="266" t="s">
        <v>266</v>
      </c>
      <c r="AA45" s="270" t="s">
        <v>167</v>
      </c>
      <c r="AB45" s="271">
        <v>2745</v>
      </c>
      <c r="AC45" s="272">
        <v>4.4000000000000004</v>
      </c>
      <c r="AD45" s="272">
        <f t="shared" si="12"/>
        <v>12078.000000000002</v>
      </c>
      <c r="AE45" s="272">
        <f t="shared" si="9"/>
        <v>2294.8200000000002</v>
      </c>
      <c r="AF45" s="367">
        <f t="shared" si="10"/>
        <v>14372.820000000002</v>
      </c>
    </row>
    <row r="46" spans="1:32" x14ac:dyDescent="0.2">
      <c r="Y46" s="604">
        <v>43615</v>
      </c>
      <c r="Z46" s="266" t="s">
        <v>266</v>
      </c>
      <c r="AA46" s="270" t="s">
        <v>167</v>
      </c>
      <c r="AB46" s="271">
        <v>1657</v>
      </c>
      <c r="AC46" s="272">
        <v>4.4000000000000004</v>
      </c>
      <c r="AD46" s="272">
        <f t="shared" si="12"/>
        <v>7290.8</v>
      </c>
      <c r="AE46" s="272">
        <f t="shared" si="9"/>
        <v>1385.252</v>
      </c>
      <c r="AF46" s="367">
        <f t="shared" si="10"/>
        <v>8676.0519999999997</v>
      </c>
    </row>
    <row r="47" spans="1:32" x14ac:dyDescent="0.2">
      <c r="Y47" s="604">
        <v>43629</v>
      </c>
      <c r="Z47" s="266" t="s">
        <v>266</v>
      </c>
      <c r="AA47" s="270" t="s">
        <v>167</v>
      </c>
      <c r="AB47" s="271">
        <f>5791+1736</f>
        <v>7527</v>
      </c>
      <c r="AC47" s="272">
        <v>4.3</v>
      </c>
      <c r="AD47" s="272">
        <f t="shared" si="12"/>
        <v>32366.1</v>
      </c>
      <c r="AE47" s="272">
        <f t="shared" si="9"/>
        <v>6149.5590000000002</v>
      </c>
      <c r="AF47" s="367">
        <f t="shared" si="10"/>
        <v>38515.659</v>
      </c>
    </row>
    <row r="48" spans="1:32" x14ac:dyDescent="0.2">
      <c r="Y48" s="604">
        <v>43637</v>
      </c>
      <c r="Z48" s="266" t="s">
        <v>266</v>
      </c>
      <c r="AA48" s="270" t="s">
        <v>167</v>
      </c>
      <c r="AB48" s="271">
        <v>1797</v>
      </c>
      <c r="AC48" s="272">
        <v>4.3</v>
      </c>
      <c r="AD48" s="272">
        <f t="shared" si="12"/>
        <v>7727.0999999999995</v>
      </c>
      <c r="AE48" s="272">
        <f t="shared" si="9"/>
        <v>1468.1489999999999</v>
      </c>
      <c r="AF48" s="367">
        <f t="shared" si="10"/>
        <v>9195.2489999999998</v>
      </c>
    </row>
    <row r="49" spans="25:32" x14ac:dyDescent="0.2">
      <c r="Y49" s="604">
        <v>43641</v>
      </c>
      <c r="Z49" s="266" t="s">
        <v>266</v>
      </c>
      <c r="AA49" s="270" t="s">
        <v>167</v>
      </c>
      <c r="AB49" s="271">
        <v>4054</v>
      </c>
      <c r="AC49" s="272">
        <v>4.3</v>
      </c>
      <c r="AD49" s="272">
        <f t="shared" si="12"/>
        <v>17432.2</v>
      </c>
      <c r="AE49" s="272">
        <f t="shared" si="9"/>
        <v>3312.1180000000004</v>
      </c>
      <c r="AF49" s="367">
        <f t="shared" si="10"/>
        <v>20744.317999999999</v>
      </c>
    </row>
    <row r="50" spans="25:32" x14ac:dyDescent="0.2">
      <c r="Y50" s="604">
        <v>43644</v>
      </c>
      <c r="Z50" s="266" t="s">
        <v>266</v>
      </c>
      <c r="AA50" s="270" t="s">
        <v>167</v>
      </c>
      <c r="AB50" s="271">
        <v>13271</v>
      </c>
      <c r="AC50" s="272">
        <v>4.3</v>
      </c>
      <c r="AD50" s="272">
        <f t="shared" si="12"/>
        <v>57065.299999999996</v>
      </c>
      <c r="AE50" s="272">
        <f t="shared" si="9"/>
        <v>10842.406999999999</v>
      </c>
      <c r="AF50" s="367">
        <f t="shared" si="10"/>
        <v>67907.706999999995</v>
      </c>
    </row>
    <row r="51" spans="25:32" x14ac:dyDescent="0.2">
      <c r="Y51" s="604">
        <v>43649</v>
      </c>
      <c r="Z51" s="266" t="s">
        <v>266</v>
      </c>
      <c r="AA51" s="270" t="s">
        <v>167</v>
      </c>
      <c r="AB51" s="271">
        <v>6018</v>
      </c>
      <c r="AC51" s="272">
        <v>4.4000000000000004</v>
      </c>
      <c r="AD51" s="272">
        <f t="shared" si="12"/>
        <v>26479.200000000001</v>
      </c>
      <c r="AE51" s="272">
        <f t="shared" si="9"/>
        <v>5031.0479999999998</v>
      </c>
      <c r="AF51" s="367">
        <f t="shared" si="10"/>
        <v>31510.248</v>
      </c>
    </row>
    <row r="52" spans="25:32" x14ac:dyDescent="0.2">
      <c r="Y52" s="511">
        <v>43657</v>
      </c>
      <c r="Z52" s="266" t="s">
        <v>266</v>
      </c>
      <c r="AA52" s="270" t="s">
        <v>167</v>
      </c>
      <c r="AB52" s="271">
        <v>5104</v>
      </c>
      <c r="AC52" s="272">
        <v>4.4000000000000004</v>
      </c>
      <c r="AD52" s="272">
        <f t="shared" si="12"/>
        <v>22457.600000000002</v>
      </c>
      <c r="AE52" s="272">
        <f t="shared" si="9"/>
        <v>4266.9440000000004</v>
      </c>
      <c r="AF52" s="367">
        <f t="shared" si="10"/>
        <v>26724.544000000002</v>
      </c>
    </row>
    <row r="53" spans="25:32" x14ac:dyDescent="0.2">
      <c r="Y53" s="511">
        <v>43659</v>
      </c>
      <c r="Z53" s="266" t="s">
        <v>266</v>
      </c>
      <c r="AA53" s="270" t="s">
        <v>167</v>
      </c>
      <c r="AB53" s="271">
        <v>6815</v>
      </c>
      <c r="AC53" s="272">
        <v>4.4000000000000004</v>
      </c>
      <c r="AD53" s="272">
        <f t="shared" si="12"/>
        <v>29986.000000000004</v>
      </c>
      <c r="AE53" s="272">
        <f t="shared" si="9"/>
        <v>5697.3400000000011</v>
      </c>
      <c r="AF53" s="367">
        <f t="shared" si="10"/>
        <v>35683.340000000004</v>
      </c>
    </row>
    <row r="54" spans="25:32" x14ac:dyDescent="0.2">
      <c r="Y54" s="511">
        <v>43663</v>
      </c>
      <c r="Z54" s="266" t="s">
        <v>266</v>
      </c>
      <c r="AA54" s="270" t="s">
        <v>167</v>
      </c>
      <c r="AB54" s="271">
        <v>6060</v>
      </c>
      <c r="AC54" s="272">
        <v>4.4000000000000004</v>
      </c>
      <c r="AD54" s="272">
        <f t="shared" si="12"/>
        <v>26664.000000000004</v>
      </c>
      <c r="AE54" s="272">
        <f t="shared" si="9"/>
        <v>5066.1600000000008</v>
      </c>
      <c r="AF54" s="367">
        <f t="shared" si="10"/>
        <v>31730.160000000003</v>
      </c>
    </row>
    <row r="55" spans="25:32" x14ac:dyDescent="0.2">
      <c r="Y55" s="511">
        <v>43676</v>
      </c>
      <c r="Z55" s="266" t="s">
        <v>266</v>
      </c>
      <c r="AA55" s="270" t="s">
        <v>167</v>
      </c>
      <c r="AB55" s="271">
        <v>5217</v>
      </c>
      <c r="AC55" s="272">
        <v>4.4000000000000004</v>
      </c>
      <c r="AD55" s="272">
        <f t="shared" si="12"/>
        <v>22954.800000000003</v>
      </c>
      <c r="AE55" s="272">
        <f t="shared" si="9"/>
        <v>4361.4120000000003</v>
      </c>
      <c r="AF55" s="367">
        <f t="shared" si="10"/>
        <v>27316.212000000003</v>
      </c>
    </row>
    <row r="56" spans="25:32" x14ac:dyDescent="0.2">
      <c r="Y56" s="511">
        <v>43677</v>
      </c>
      <c r="Z56" s="266" t="s">
        <v>266</v>
      </c>
      <c r="AA56" s="270" t="s">
        <v>167</v>
      </c>
      <c r="AB56" s="271">
        <v>4222</v>
      </c>
      <c r="AC56" s="272">
        <v>4.4000000000000004</v>
      </c>
      <c r="AD56" s="272">
        <f t="shared" si="12"/>
        <v>18576.800000000003</v>
      </c>
      <c r="AE56" s="272">
        <f t="shared" si="9"/>
        <v>3529.5920000000006</v>
      </c>
      <c r="AF56" s="367">
        <f t="shared" si="10"/>
        <v>22106.392000000003</v>
      </c>
    </row>
    <row r="57" spans="25:32" x14ac:dyDescent="0.2">
      <c r="Y57" s="511">
        <v>43680</v>
      </c>
      <c r="Z57" s="266" t="s">
        <v>266</v>
      </c>
      <c r="AA57" s="270" t="s">
        <v>167</v>
      </c>
      <c r="AB57" s="271">
        <v>4908</v>
      </c>
      <c r="AC57" s="272">
        <v>4.4000000000000004</v>
      </c>
      <c r="AD57" s="272">
        <f t="shared" si="12"/>
        <v>21595.200000000001</v>
      </c>
      <c r="AE57" s="272">
        <f t="shared" si="9"/>
        <v>4103.0879999999997</v>
      </c>
      <c r="AF57" s="367">
        <f t="shared" si="10"/>
        <v>25698.288</v>
      </c>
    </row>
    <row r="58" spans="25:32" x14ac:dyDescent="0.2">
      <c r="Y58" s="511">
        <v>43684</v>
      </c>
      <c r="Z58" s="266" t="s">
        <v>266</v>
      </c>
      <c r="AA58" s="270" t="s">
        <v>167</v>
      </c>
      <c r="AB58" s="271">
        <v>6300</v>
      </c>
      <c r="AC58" s="272">
        <v>4.4000000000000004</v>
      </c>
      <c r="AD58" s="272">
        <f t="shared" si="12"/>
        <v>27720.000000000004</v>
      </c>
      <c r="AE58" s="272">
        <f t="shared" si="9"/>
        <v>5266.8000000000011</v>
      </c>
      <c r="AF58" s="367">
        <f t="shared" si="10"/>
        <v>32986.800000000003</v>
      </c>
    </row>
    <row r="59" spans="25:32" x14ac:dyDescent="0.2">
      <c r="Y59" s="511">
        <v>43685</v>
      </c>
      <c r="Z59" s="266" t="s">
        <v>266</v>
      </c>
      <c r="AA59" s="270" t="s">
        <v>167</v>
      </c>
      <c r="AB59" s="271">
        <v>4649</v>
      </c>
      <c r="AC59" s="272">
        <v>4.4000000000000004</v>
      </c>
      <c r="AD59" s="272">
        <f t="shared" si="12"/>
        <v>20455.600000000002</v>
      </c>
      <c r="AE59" s="272">
        <f t="shared" si="9"/>
        <v>3886.5640000000003</v>
      </c>
      <c r="AF59" s="367">
        <f t="shared" si="10"/>
        <v>24342.164000000004</v>
      </c>
    </row>
    <row r="60" spans="25:32" x14ac:dyDescent="0.2">
      <c r="Y60" s="511">
        <v>43691</v>
      </c>
      <c r="Z60" s="266" t="s">
        <v>266</v>
      </c>
      <c r="AA60" s="270" t="s">
        <v>167</v>
      </c>
      <c r="AB60" s="271">
        <v>6597</v>
      </c>
      <c r="AC60" s="272">
        <v>4.4000000000000004</v>
      </c>
      <c r="AD60" s="272">
        <f t="shared" si="12"/>
        <v>29026.800000000003</v>
      </c>
      <c r="AE60" s="272">
        <f t="shared" si="9"/>
        <v>5515.0920000000006</v>
      </c>
      <c r="AF60" s="367">
        <f t="shared" si="10"/>
        <v>34541.892000000007</v>
      </c>
    </row>
    <row r="61" spans="25:32" x14ac:dyDescent="0.2">
      <c r="Y61" s="511">
        <v>43691</v>
      </c>
      <c r="Z61" s="266" t="s">
        <v>266</v>
      </c>
      <c r="AA61" s="270" t="s">
        <v>167</v>
      </c>
      <c r="AB61" s="271">
        <v>4265</v>
      </c>
      <c r="AC61" s="272">
        <v>4.4000000000000004</v>
      </c>
      <c r="AD61" s="272">
        <f t="shared" si="12"/>
        <v>18766</v>
      </c>
      <c r="AE61" s="272">
        <f t="shared" si="9"/>
        <v>3565.54</v>
      </c>
      <c r="AF61" s="367">
        <f t="shared" si="10"/>
        <v>22331.54</v>
      </c>
    </row>
    <row r="62" spans="25:32" x14ac:dyDescent="0.2">
      <c r="Y62" s="511">
        <v>43693</v>
      </c>
      <c r="Z62" s="266" t="s">
        <v>266</v>
      </c>
      <c r="AA62" s="270" t="s">
        <v>167</v>
      </c>
      <c r="AB62" s="271">
        <v>5532</v>
      </c>
      <c r="AC62" s="272">
        <v>4.4000000000000004</v>
      </c>
      <c r="AD62" s="272">
        <f t="shared" si="12"/>
        <v>24340.800000000003</v>
      </c>
      <c r="AE62" s="272">
        <f t="shared" si="9"/>
        <v>4624.7520000000004</v>
      </c>
      <c r="AF62" s="367">
        <f t="shared" si="10"/>
        <v>28965.552000000003</v>
      </c>
    </row>
    <row r="63" spans="25:32" x14ac:dyDescent="0.2">
      <c r="Y63" s="511">
        <v>43698</v>
      </c>
      <c r="Z63" s="266" t="s">
        <v>266</v>
      </c>
      <c r="AA63" s="270" t="s">
        <v>167</v>
      </c>
      <c r="AB63" s="271">
        <v>5295</v>
      </c>
      <c r="AC63" s="272">
        <v>4.4000000000000004</v>
      </c>
      <c r="AD63" s="272">
        <f t="shared" si="12"/>
        <v>23298.000000000004</v>
      </c>
      <c r="AE63" s="272">
        <f t="shared" si="9"/>
        <v>4426.6200000000008</v>
      </c>
      <c r="AF63" s="367">
        <f t="shared" si="10"/>
        <v>27724.620000000003</v>
      </c>
    </row>
    <row r="64" spans="25:32" x14ac:dyDescent="0.2">
      <c r="Y64" s="511">
        <v>43707</v>
      </c>
      <c r="Z64" s="266" t="s">
        <v>266</v>
      </c>
      <c r="AA64" s="270" t="s">
        <v>167</v>
      </c>
      <c r="AB64" s="271">
        <v>4459</v>
      </c>
      <c r="AC64" s="272">
        <v>4.4000000000000004</v>
      </c>
      <c r="AD64" s="272">
        <f t="shared" si="12"/>
        <v>19619.600000000002</v>
      </c>
      <c r="AE64" s="272">
        <f t="shared" si="9"/>
        <v>3727.7240000000006</v>
      </c>
      <c r="AF64" s="367">
        <f t="shared" si="10"/>
        <v>23347.324000000004</v>
      </c>
    </row>
    <row r="65" spans="25:32" x14ac:dyDescent="0.2">
      <c r="Y65" s="511">
        <v>43712</v>
      </c>
      <c r="Z65" s="266" t="s">
        <v>266</v>
      </c>
      <c r="AA65" s="270" t="s">
        <v>167</v>
      </c>
      <c r="AB65" s="271">
        <v>4271</v>
      </c>
      <c r="AC65" s="272">
        <v>4.4000000000000004</v>
      </c>
      <c r="AD65" s="272">
        <f t="shared" si="12"/>
        <v>18792.400000000001</v>
      </c>
      <c r="AE65" s="272">
        <f t="shared" si="9"/>
        <v>3570.5560000000005</v>
      </c>
      <c r="AF65" s="367">
        <f t="shared" si="10"/>
        <v>22362.956000000002</v>
      </c>
    </row>
    <row r="66" spans="25:32" x14ac:dyDescent="0.2">
      <c r="Y66" s="511">
        <v>43713</v>
      </c>
      <c r="Z66" s="266" t="s">
        <v>266</v>
      </c>
      <c r="AA66" s="270" t="s">
        <v>167</v>
      </c>
      <c r="AB66" s="271">
        <v>7079</v>
      </c>
      <c r="AC66" s="272">
        <v>4.4000000000000004</v>
      </c>
      <c r="AD66" s="272">
        <f t="shared" si="12"/>
        <v>31147.600000000002</v>
      </c>
      <c r="AE66" s="272">
        <f t="shared" si="9"/>
        <v>5918.0440000000008</v>
      </c>
      <c r="AF66" s="367">
        <f t="shared" si="10"/>
        <v>37065.644</v>
      </c>
    </row>
    <row r="67" spans="25:32" x14ac:dyDescent="0.2">
      <c r="Y67" s="511">
        <v>43718</v>
      </c>
      <c r="Z67" s="266" t="s">
        <v>266</v>
      </c>
      <c r="AA67" s="270" t="s">
        <v>167</v>
      </c>
      <c r="AB67" s="271">
        <v>5563</v>
      </c>
      <c r="AC67" s="272">
        <v>4.4000000000000004</v>
      </c>
      <c r="AD67" s="272">
        <f t="shared" si="12"/>
        <v>24477.200000000001</v>
      </c>
      <c r="AE67" s="272">
        <f t="shared" si="9"/>
        <v>4650.6680000000006</v>
      </c>
      <c r="AF67" s="367">
        <f t="shared" si="10"/>
        <v>29127.868000000002</v>
      </c>
    </row>
    <row r="68" spans="25:32" x14ac:dyDescent="0.2">
      <c r="Y68" s="511">
        <v>43738</v>
      </c>
      <c r="Z68" s="266" t="s">
        <v>266</v>
      </c>
      <c r="AA68" s="270" t="s">
        <v>167</v>
      </c>
      <c r="AB68" s="271">
        <v>4138</v>
      </c>
      <c r="AC68" s="272">
        <v>4.4000000000000004</v>
      </c>
      <c r="AD68" s="272">
        <f t="shared" si="12"/>
        <v>18207.2</v>
      </c>
      <c r="AE68" s="272">
        <f t="shared" si="9"/>
        <v>3459.3680000000004</v>
      </c>
      <c r="AF68" s="367">
        <f t="shared" si="10"/>
        <v>21666.567999999999</v>
      </c>
    </row>
    <row r="69" spans="25:32" x14ac:dyDescent="0.2">
      <c r="Y69" s="511">
        <v>43745</v>
      </c>
      <c r="Z69" s="266" t="s">
        <v>266</v>
      </c>
      <c r="AA69" s="270" t="s">
        <v>167</v>
      </c>
      <c r="AB69" s="271">
        <v>3251</v>
      </c>
      <c r="AC69" s="272">
        <v>4.4000000000000004</v>
      </c>
      <c r="AD69" s="272">
        <f t="shared" si="12"/>
        <v>14304.400000000001</v>
      </c>
      <c r="AE69" s="272">
        <f t="shared" si="9"/>
        <v>2717.8360000000002</v>
      </c>
      <c r="AF69" s="367">
        <f t="shared" si="10"/>
        <v>17022.236000000001</v>
      </c>
    </row>
    <row r="70" spans="25:32" x14ac:dyDescent="0.2">
      <c r="Y70" s="511">
        <v>43747</v>
      </c>
      <c r="Z70" s="266" t="s">
        <v>266</v>
      </c>
      <c r="AA70" s="270" t="s">
        <v>167</v>
      </c>
      <c r="AB70" s="271">
        <v>5282</v>
      </c>
      <c r="AC70" s="272">
        <v>4.4000000000000004</v>
      </c>
      <c r="AD70" s="272">
        <f t="shared" si="12"/>
        <v>23240.800000000003</v>
      </c>
      <c r="AE70" s="272">
        <f t="shared" si="9"/>
        <v>4415.7520000000004</v>
      </c>
      <c r="AF70" s="367">
        <f t="shared" si="10"/>
        <v>27656.552000000003</v>
      </c>
    </row>
    <row r="71" spans="25:32" x14ac:dyDescent="0.2">
      <c r="Y71" s="511">
        <v>43753</v>
      </c>
      <c r="Z71" s="266" t="s">
        <v>266</v>
      </c>
      <c r="AA71" s="270" t="s">
        <v>167</v>
      </c>
      <c r="AB71" s="271">
        <v>5477</v>
      </c>
      <c r="AC71" s="272">
        <v>4.4000000000000004</v>
      </c>
      <c r="AD71" s="272">
        <f t="shared" si="12"/>
        <v>24098.800000000003</v>
      </c>
      <c r="AE71" s="272">
        <f t="shared" si="9"/>
        <v>4578.7720000000008</v>
      </c>
      <c r="AF71" s="367">
        <f t="shared" si="10"/>
        <v>28677.572000000004</v>
      </c>
    </row>
    <row r="72" spans="25:32" x14ac:dyDescent="0.2">
      <c r="Y72" s="511">
        <v>43757</v>
      </c>
      <c r="Z72" s="266" t="s">
        <v>266</v>
      </c>
      <c r="AA72" s="270" t="s">
        <v>167</v>
      </c>
      <c r="AB72" s="271">
        <v>5280</v>
      </c>
      <c r="AC72" s="272">
        <v>4.4000000000000004</v>
      </c>
      <c r="AD72" s="272">
        <f t="shared" si="12"/>
        <v>23232.000000000004</v>
      </c>
      <c r="AE72" s="272">
        <f t="shared" si="9"/>
        <v>4414.0800000000008</v>
      </c>
      <c r="AF72" s="367">
        <f t="shared" si="10"/>
        <v>27646.080000000005</v>
      </c>
    </row>
    <row r="73" spans="25:32" x14ac:dyDescent="0.2">
      <c r="Y73" s="511">
        <v>43761</v>
      </c>
      <c r="Z73" s="266" t="s">
        <v>266</v>
      </c>
      <c r="AA73" s="270" t="s">
        <v>167</v>
      </c>
      <c r="AB73" s="271">
        <v>7091</v>
      </c>
      <c r="AC73" s="272">
        <v>4.4000000000000004</v>
      </c>
      <c r="AD73" s="272">
        <f t="shared" si="12"/>
        <v>31200.400000000001</v>
      </c>
      <c r="AE73" s="272">
        <f t="shared" si="9"/>
        <v>5928.076</v>
      </c>
      <c r="AF73" s="367">
        <f t="shared" si="10"/>
        <v>37128.476000000002</v>
      </c>
    </row>
    <row r="74" spans="25:32" x14ac:dyDescent="0.2">
      <c r="Y74" s="745">
        <v>43763</v>
      </c>
      <c r="Z74" s="15" t="s">
        <v>266</v>
      </c>
      <c r="AA74" s="15" t="s">
        <v>167</v>
      </c>
      <c r="AB74" s="271">
        <v>5243</v>
      </c>
      <c r="AC74" s="272">
        <v>4.4000000000000004</v>
      </c>
      <c r="AD74" s="272">
        <f t="shared" si="12"/>
        <v>23069.200000000001</v>
      </c>
      <c r="AE74" s="272">
        <f t="shared" si="9"/>
        <v>4383.1480000000001</v>
      </c>
      <c r="AF74" s="367">
        <f t="shared" si="10"/>
        <v>27452.348000000002</v>
      </c>
    </row>
    <row r="75" spans="25:32" x14ac:dyDescent="0.2">
      <c r="Y75" s="745">
        <v>43769</v>
      </c>
      <c r="Z75" s="15" t="s">
        <v>266</v>
      </c>
      <c r="AA75" s="15" t="s">
        <v>167</v>
      </c>
      <c r="AB75" s="271">
        <v>4830</v>
      </c>
      <c r="AC75" s="272">
        <v>4.4000000000000004</v>
      </c>
      <c r="AD75" s="272">
        <f t="shared" si="12"/>
        <v>21252</v>
      </c>
      <c r="AE75" s="272">
        <f t="shared" si="9"/>
        <v>4037.88</v>
      </c>
      <c r="AF75" s="367">
        <f t="shared" si="10"/>
        <v>25289.88</v>
      </c>
    </row>
    <row r="76" spans="25:32" x14ac:dyDescent="0.2">
      <c r="Y76" s="511">
        <v>43777</v>
      </c>
      <c r="Z76" s="266" t="s">
        <v>266</v>
      </c>
      <c r="AA76" s="270" t="s">
        <v>167</v>
      </c>
      <c r="AB76" s="271">
        <v>5079</v>
      </c>
      <c r="AC76" s="272">
        <v>4.5</v>
      </c>
      <c r="AD76" s="272">
        <f t="shared" si="12"/>
        <v>22855.5</v>
      </c>
      <c r="AE76" s="272">
        <f t="shared" si="9"/>
        <v>4342.5450000000001</v>
      </c>
      <c r="AF76" s="367">
        <f t="shared" si="10"/>
        <v>27198.044999999998</v>
      </c>
    </row>
    <row r="77" spans="25:32" x14ac:dyDescent="0.2">
      <c r="Y77" s="511">
        <v>43781</v>
      </c>
      <c r="Z77" s="266" t="s">
        <v>266</v>
      </c>
      <c r="AA77" s="270" t="s">
        <v>167</v>
      </c>
      <c r="AB77" s="271">
        <v>5386</v>
      </c>
      <c r="AC77" s="272">
        <v>4.5</v>
      </c>
      <c r="AD77" s="272">
        <f t="shared" si="12"/>
        <v>24237</v>
      </c>
      <c r="AE77" s="272">
        <f t="shared" si="9"/>
        <v>4605.03</v>
      </c>
      <c r="AF77" s="367">
        <f t="shared" si="10"/>
        <v>28842.03</v>
      </c>
    </row>
    <row r="78" spans="25:32" x14ac:dyDescent="0.2">
      <c r="Y78" s="511">
        <v>43782</v>
      </c>
      <c r="Z78" s="266" t="s">
        <v>266</v>
      </c>
      <c r="AA78" s="270" t="s">
        <v>167</v>
      </c>
      <c r="AB78" s="271">
        <v>2327</v>
      </c>
      <c r="AC78" s="272">
        <v>4.5</v>
      </c>
      <c r="AD78" s="272">
        <f t="shared" si="12"/>
        <v>10471.5</v>
      </c>
      <c r="AE78" s="272">
        <f t="shared" ref="AE78:AE90" si="13">+AD78*0.19</f>
        <v>1989.585</v>
      </c>
      <c r="AF78" s="367">
        <f t="shared" ref="AF78:AF90" si="14">+AD78+AE78</f>
        <v>12461.084999999999</v>
      </c>
    </row>
    <row r="79" spans="25:32" x14ac:dyDescent="0.2">
      <c r="Y79" s="511">
        <v>43790</v>
      </c>
      <c r="Z79" s="266" t="s">
        <v>266</v>
      </c>
      <c r="AA79" s="270" t="s">
        <v>167</v>
      </c>
      <c r="AB79" s="271">
        <v>3899</v>
      </c>
      <c r="AC79" s="272">
        <v>4.5</v>
      </c>
      <c r="AD79" s="272">
        <f t="shared" si="12"/>
        <v>17545.5</v>
      </c>
      <c r="AE79" s="272">
        <f t="shared" si="13"/>
        <v>3333.645</v>
      </c>
      <c r="AF79" s="367">
        <f t="shared" si="14"/>
        <v>20879.145</v>
      </c>
    </row>
    <row r="80" spans="25:32" x14ac:dyDescent="0.2">
      <c r="Y80" s="745">
        <v>43791</v>
      </c>
      <c r="Z80" s="15" t="s">
        <v>266</v>
      </c>
      <c r="AA80" s="15" t="s">
        <v>167</v>
      </c>
      <c r="AB80" s="271">
        <v>11751</v>
      </c>
      <c r="AC80" s="272">
        <v>4.5</v>
      </c>
      <c r="AD80" s="272">
        <f t="shared" si="12"/>
        <v>52879.5</v>
      </c>
      <c r="AE80" s="272">
        <f t="shared" si="13"/>
        <v>10047.105</v>
      </c>
      <c r="AF80" s="367">
        <f t="shared" si="14"/>
        <v>62926.604999999996</v>
      </c>
    </row>
    <row r="81" spans="25:32" x14ac:dyDescent="0.2">
      <c r="Y81" s="745">
        <v>43804</v>
      </c>
      <c r="Z81" s="15" t="s">
        <v>266</v>
      </c>
      <c r="AA81" s="15" t="s">
        <v>167</v>
      </c>
      <c r="AB81" s="271">
        <v>9721</v>
      </c>
      <c r="AC81" s="272">
        <v>4.5999999999999996</v>
      </c>
      <c r="AD81" s="272">
        <f t="shared" si="12"/>
        <v>44716.6</v>
      </c>
      <c r="AE81" s="272">
        <f t="shared" si="13"/>
        <v>8496.1540000000005</v>
      </c>
      <c r="AF81" s="367">
        <f t="shared" si="14"/>
        <v>53212.754000000001</v>
      </c>
    </row>
    <row r="82" spans="25:32" x14ac:dyDescent="0.2">
      <c r="Y82" s="745">
        <v>43805</v>
      </c>
      <c r="Z82" s="15" t="s">
        <v>266</v>
      </c>
      <c r="AA82" s="15" t="s">
        <v>167</v>
      </c>
      <c r="AB82" s="271">
        <v>5769</v>
      </c>
      <c r="AC82" s="272">
        <v>4.5999999999999996</v>
      </c>
      <c r="AD82" s="272">
        <f t="shared" si="12"/>
        <v>26537.399999999998</v>
      </c>
      <c r="AE82" s="272">
        <f t="shared" si="13"/>
        <v>5042.1059999999998</v>
      </c>
      <c r="AF82" s="367">
        <f t="shared" si="14"/>
        <v>31579.505999999998</v>
      </c>
    </row>
    <row r="83" spans="25:32" x14ac:dyDescent="0.2">
      <c r="Y83" s="745">
        <v>43808</v>
      </c>
      <c r="Z83" s="15" t="s">
        <v>266</v>
      </c>
      <c r="AA83" s="15" t="s">
        <v>167</v>
      </c>
      <c r="AB83" s="271">
        <v>4006</v>
      </c>
      <c r="AC83" s="272">
        <v>4.5999999999999996</v>
      </c>
      <c r="AD83" s="272">
        <f t="shared" si="12"/>
        <v>18427.599999999999</v>
      </c>
      <c r="AE83" s="272">
        <f t="shared" si="13"/>
        <v>3501.2439999999997</v>
      </c>
      <c r="AF83" s="367">
        <f t="shared" si="14"/>
        <v>21928.843999999997</v>
      </c>
    </row>
    <row r="84" spans="25:32" x14ac:dyDescent="0.2">
      <c r="Y84" s="745">
        <v>43816</v>
      </c>
      <c r="Z84" s="15" t="s">
        <v>266</v>
      </c>
      <c r="AA84" s="15" t="s">
        <v>167</v>
      </c>
      <c r="AB84" s="271">
        <v>4844</v>
      </c>
      <c r="AC84" s="272">
        <v>4.5999999999999996</v>
      </c>
      <c r="AD84" s="272">
        <f t="shared" si="12"/>
        <v>22282.399999999998</v>
      </c>
      <c r="AE84" s="272">
        <f t="shared" si="13"/>
        <v>4233.6559999999999</v>
      </c>
      <c r="AF84" s="367">
        <f t="shared" si="14"/>
        <v>26516.055999999997</v>
      </c>
    </row>
    <row r="85" spans="25:32" x14ac:dyDescent="0.2">
      <c r="Y85" s="745">
        <v>43819</v>
      </c>
      <c r="Z85" s="15" t="s">
        <v>266</v>
      </c>
      <c r="AA85" s="15" t="s">
        <v>167</v>
      </c>
      <c r="AB85" s="271">
        <v>11253</v>
      </c>
      <c r="AC85" s="272">
        <v>4.5999999999999996</v>
      </c>
      <c r="AD85" s="272">
        <f t="shared" si="12"/>
        <v>51763.799999999996</v>
      </c>
      <c r="AE85" s="272">
        <f t="shared" si="13"/>
        <v>9835.1219999999994</v>
      </c>
      <c r="AF85" s="367">
        <f t="shared" si="14"/>
        <v>61598.921999999991</v>
      </c>
    </row>
    <row r="86" spans="25:32" x14ac:dyDescent="0.2">
      <c r="Y86" s="745">
        <v>43823</v>
      </c>
      <c r="Z86" s="15" t="s">
        <v>266</v>
      </c>
      <c r="AA86" s="15" t="s">
        <v>167</v>
      </c>
      <c r="AB86" s="271">
        <v>4361</v>
      </c>
      <c r="AC86" s="272">
        <v>4.5999999999999996</v>
      </c>
      <c r="AD86" s="272">
        <f t="shared" si="12"/>
        <v>20060.599999999999</v>
      </c>
      <c r="AE86" s="272">
        <f t="shared" si="13"/>
        <v>3811.5139999999997</v>
      </c>
      <c r="AF86" s="367">
        <f t="shared" si="14"/>
        <v>23872.113999999998</v>
      </c>
    </row>
    <row r="87" spans="25:32" x14ac:dyDescent="0.2">
      <c r="Y87" s="745">
        <v>43832</v>
      </c>
      <c r="Z87" s="15" t="s">
        <v>266</v>
      </c>
      <c r="AA87" s="15" t="s">
        <v>167</v>
      </c>
      <c r="AB87" s="271">
        <v>5973</v>
      </c>
      <c r="AC87" s="272">
        <v>4.5999999999999996</v>
      </c>
      <c r="AD87" s="272">
        <f t="shared" si="12"/>
        <v>27475.8</v>
      </c>
      <c r="AE87" s="272">
        <f t="shared" si="13"/>
        <v>5220.402</v>
      </c>
      <c r="AF87" s="367">
        <f t="shared" si="14"/>
        <v>32696.201999999997</v>
      </c>
    </row>
    <row r="88" spans="25:32" x14ac:dyDescent="0.2">
      <c r="Y88" s="745">
        <v>43838</v>
      </c>
      <c r="Z88" s="15" t="s">
        <v>266</v>
      </c>
      <c r="AA88" s="15" t="s">
        <v>167</v>
      </c>
      <c r="AB88" s="271">
        <v>3496</v>
      </c>
      <c r="AC88" s="272">
        <v>4.5999999999999996</v>
      </c>
      <c r="AD88" s="272">
        <f t="shared" si="12"/>
        <v>16081.599999999999</v>
      </c>
      <c r="AE88" s="272">
        <f t="shared" si="13"/>
        <v>3055.5039999999999</v>
      </c>
      <c r="AF88" s="367">
        <f t="shared" si="14"/>
        <v>19137.103999999999</v>
      </c>
    </row>
    <row r="89" spans="25:32" x14ac:dyDescent="0.2">
      <c r="Y89" s="745">
        <v>43840</v>
      </c>
      <c r="Z89" s="15" t="s">
        <v>266</v>
      </c>
      <c r="AA89" s="15" t="s">
        <v>167</v>
      </c>
      <c r="AB89" s="271">
        <v>7094</v>
      </c>
      <c r="AC89" s="272">
        <v>4.5999999999999996</v>
      </c>
      <c r="AD89" s="272">
        <f t="shared" si="12"/>
        <v>32632.399999999998</v>
      </c>
      <c r="AE89" s="272">
        <f t="shared" si="13"/>
        <v>6200.1559999999999</v>
      </c>
      <c r="AF89" s="367">
        <f t="shared" si="14"/>
        <v>38832.555999999997</v>
      </c>
    </row>
    <row r="90" spans="25:32" x14ac:dyDescent="0.2">
      <c r="Y90" s="745">
        <v>43845</v>
      </c>
      <c r="Z90" s="15" t="s">
        <v>266</v>
      </c>
      <c r="AA90" s="15" t="s">
        <v>167</v>
      </c>
      <c r="AB90" s="271">
        <v>6025</v>
      </c>
      <c r="AC90" s="272">
        <v>4.5999999999999996</v>
      </c>
      <c r="AD90" s="272">
        <f t="shared" si="12"/>
        <v>27714.999999999996</v>
      </c>
      <c r="AE90" s="272">
        <f t="shared" si="13"/>
        <v>5265.8499999999995</v>
      </c>
      <c r="AF90" s="367">
        <f t="shared" si="14"/>
        <v>32980.85</v>
      </c>
    </row>
    <row r="91" spans="25:32" x14ac:dyDescent="0.2">
      <c r="Y91" s="745"/>
      <c r="AB91" s="271"/>
      <c r="AC91" s="272"/>
      <c r="AD91" s="272"/>
      <c r="AE91" s="272"/>
      <c r="AF91" s="367"/>
    </row>
    <row r="92" spans="25:32" x14ac:dyDescent="0.2">
      <c r="Y92" s="745"/>
      <c r="AB92" s="271"/>
      <c r="AC92" s="272"/>
      <c r="AD92" s="272"/>
      <c r="AE92" s="272"/>
      <c r="AF92" s="367"/>
    </row>
    <row r="93" spans="25:32" x14ac:dyDescent="0.2">
      <c r="Y93" s="745"/>
      <c r="AB93" s="271"/>
      <c r="AC93" s="272"/>
      <c r="AD93" s="272"/>
      <c r="AE93" s="272"/>
      <c r="AF93" s="367"/>
    </row>
    <row r="94" spans="25:32" x14ac:dyDescent="0.2">
      <c r="Y94" s="745"/>
      <c r="AB94" s="271"/>
      <c r="AC94" s="272"/>
      <c r="AD94" s="272"/>
      <c r="AE94" s="272"/>
      <c r="AF94" s="367"/>
    </row>
    <row r="95" spans="25:32" ht="13.5" thickBot="1" x14ac:dyDescent="0.25">
      <c r="Y95" s="512"/>
      <c r="Z95" s="361"/>
      <c r="AA95" s="361"/>
      <c r="AB95" s="371"/>
      <c r="AC95" s="361"/>
      <c r="AD95" s="272"/>
      <c r="AE95" s="272"/>
      <c r="AF95" s="367"/>
    </row>
    <row r="96" spans="25:32" x14ac:dyDescent="0.2">
      <c r="AD96" s="272"/>
      <c r="AE96" s="272"/>
      <c r="AF96" s="367"/>
    </row>
  </sheetData>
  <mergeCells count="16">
    <mergeCell ref="A10:G10"/>
    <mergeCell ref="A11:G11"/>
    <mergeCell ref="A12:G12"/>
    <mergeCell ref="A6:B6"/>
    <mergeCell ref="D6:E6"/>
    <mergeCell ref="A7:B7"/>
    <mergeCell ref="D7:E7"/>
    <mergeCell ref="A8:E8"/>
    <mergeCell ref="A9:G9"/>
    <mergeCell ref="A5:B5"/>
    <mergeCell ref="D5:E5"/>
    <mergeCell ref="A1:H1"/>
    <mergeCell ref="A3:B3"/>
    <mergeCell ref="D3:E3"/>
    <mergeCell ref="A4:B4"/>
    <mergeCell ref="D4:E4"/>
  </mergeCells>
  <pageMargins left="0" right="0" top="0" bottom="0" header="0" footer="0"/>
  <pageSetup paperSize="9" orientation="landscape" horizontalDpi="180" verticalDpi="18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O86"/>
  <sheetViews>
    <sheetView zoomScaleNormal="100" workbookViewId="0">
      <selection activeCell="K29" sqref="K29"/>
    </sheetView>
  </sheetViews>
  <sheetFormatPr baseColWidth="10" defaultRowHeight="15" x14ac:dyDescent="0.25"/>
  <cols>
    <col min="1" max="1" width="10.140625" bestFit="1" customWidth="1"/>
    <col min="2" max="2" width="15.7109375" bestFit="1" customWidth="1"/>
    <col min="3" max="3" width="3.5703125" bestFit="1" customWidth="1"/>
    <col min="4" max="4" width="8.85546875" bestFit="1" customWidth="1"/>
    <col min="5" max="5" width="5.42578125" bestFit="1" customWidth="1"/>
    <col min="6" max="6" width="12.28515625" bestFit="1" customWidth="1"/>
    <col min="7" max="7" width="10.85546875" bestFit="1" customWidth="1"/>
    <col min="8" max="8" width="12.28515625" style="396" bestFit="1" customWidth="1"/>
    <col min="10" max="10" width="12.42578125" bestFit="1" customWidth="1"/>
    <col min="11" max="11" width="12.42578125" style="28" bestFit="1" customWidth="1"/>
    <col min="15" max="15" width="13.140625" bestFit="1" customWidth="1"/>
  </cols>
  <sheetData>
    <row r="1" spans="1:14" x14ac:dyDescent="0.25">
      <c r="A1" s="914" t="s">
        <v>683</v>
      </c>
      <c r="B1" s="914"/>
      <c r="C1" s="914"/>
      <c r="D1" s="914"/>
      <c r="E1" s="914"/>
      <c r="F1" s="914"/>
      <c r="G1" s="914"/>
      <c r="H1" s="914"/>
    </row>
    <row r="2" spans="1:14" ht="15.75" thickBot="1" x14ac:dyDescent="0.3">
      <c r="A2" s="250"/>
      <c r="B2" s="15"/>
      <c r="C2" s="263"/>
      <c r="D2" s="180"/>
      <c r="E2" s="187"/>
      <c r="F2" s="187"/>
      <c r="G2" s="187"/>
      <c r="H2" s="187"/>
    </row>
    <row r="3" spans="1:14" x14ac:dyDescent="0.25">
      <c r="A3" s="915" t="s">
        <v>243</v>
      </c>
      <c r="B3" s="916"/>
      <c r="C3" s="314" t="s">
        <v>167</v>
      </c>
      <c r="D3" s="917">
        <f>SUM(D14:D16)</f>
        <v>94720</v>
      </c>
      <c r="E3" s="918"/>
      <c r="F3" s="231">
        <f>SUM(F14:F16)</f>
        <v>80512</v>
      </c>
      <c r="G3" s="231">
        <f>SUM(G14:G16)</f>
        <v>15297.280000000002</v>
      </c>
      <c r="H3" s="315">
        <f>SUM(H14:H16)</f>
        <v>95811.08</v>
      </c>
    </row>
    <row r="4" spans="1:14" x14ac:dyDescent="0.25">
      <c r="A4" s="904" t="s">
        <v>244</v>
      </c>
      <c r="B4" s="905"/>
      <c r="C4" s="316" t="s">
        <v>167</v>
      </c>
      <c r="D4" s="906">
        <f>SUM(D17:D52)</f>
        <v>1091504</v>
      </c>
      <c r="E4" s="907"/>
      <c r="F4" s="189">
        <f>SUM(F17:F52)</f>
        <v>2141070.6</v>
      </c>
      <c r="G4" s="189">
        <f>SUM(G17:G52)</f>
        <v>406803.41400000005</v>
      </c>
      <c r="H4" s="317">
        <f>SUM(H17:H52)</f>
        <v>2547895.6140000005</v>
      </c>
    </row>
    <row r="5" spans="1:14" x14ac:dyDescent="0.25">
      <c r="A5" s="904" t="s">
        <v>1873</v>
      </c>
      <c r="B5" s="905"/>
      <c r="C5" s="316" t="s">
        <v>167</v>
      </c>
      <c r="D5" s="906">
        <v>0</v>
      </c>
      <c r="E5" s="907"/>
      <c r="F5" s="189">
        <f>SUM(F67:F68)</f>
        <v>81345.42</v>
      </c>
      <c r="G5" s="189">
        <f>SUM(G67:G68)</f>
        <v>15455.629799999999</v>
      </c>
      <c r="H5" s="317">
        <f>SUM(H67:H68)</f>
        <v>96802.249800000005</v>
      </c>
    </row>
    <row r="6" spans="1:14" x14ac:dyDescent="0.25">
      <c r="A6" s="904" t="s">
        <v>1230</v>
      </c>
      <c r="B6" s="905"/>
      <c r="C6" s="316"/>
      <c r="D6" s="906">
        <v>0</v>
      </c>
      <c r="E6" s="907"/>
      <c r="F6" s="782">
        <f>SUM(F58:F62)</f>
        <v>101510.25</v>
      </c>
      <c r="G6" s="189">
        <f>SUM(G58:G62)</f>
        <v>19286.947499999998</v>
      </c>
      <c r="H6" s="317">
        <f>SUM(H58:H62)</f>
        <v>120800.19749999999</v>
      </c>
    </row>
    <row r="7" spans="1:14" x14ac:dyDescent="0.25">
      <c r="A7" s="904" t="s">
        <v>1231</v>
      </c>
      <c r="B7" s="905"/>
      <c r="C7" s="316"/>
      <c r="D7" s="906">
        <v>0</v>
      </c>
      <c r="E7" s="907"/>
      <c r="F7" s="782">
        <f>SUM(F63:F64)</f>
        <v>11204.1</v>
      </c>
      <c r="G7" s="189">
        <f>SUM(G63:G64)</f>
        <v>2128.779</v>
      </c>
      <c r="H7" s="317">
        <f>SUM(H63:H64)</f>
        <v>13334.079</v>
      </c>
    </row>
    <row r="8" spans="1:14" x14ac:dyDescent="0.25">
      <c r="A8" s="940" t="s">
        <v>1874</v>
      </c>
      <c r="B8" s="941"/>
      <c r="C8" s="316" t="s">
        <v>167</v>
      </c>
      <c r="D8" s="906">
        <v>0</v>
      </c>
      <c r="E8" s="907"/>
      <c r="F8" s="189">
        <f>SUM(F65:F66)</f>
        <v>14864.402</v>
      </c>
      <c r="G8" s="189">
        <f>SUM(G65:G66)</f>
        <v>2824.2363800000003</v>
      </c>
      <c r="H8" s="317">
        <f>SUM(H65:H66)</f>
        <v>17689.838380000001</v>
      </c>
      <c r="N8" s="70"/>
    </row>
    <row r="9" spans="1:14" x14ac:dyDescent="0.25">
      <c r="A9" s="904" t="s">
        <v>246</v>
      </c>
      <c r="B9" s="905"/>
      <c r="C9" s="316" t="s">
        <v>167</v>
      </c>
      <c r="D9" s="906">
        <f>SUM(D53:D57)</f>
        <v>128899</v>
      </c>
      <c r="E9" s="907"/>
      <c r="F9" s="189">
        <f>SUM(F53:F57)</f>
        <v>592935.39999999991</v>
      </c>
      <c r="G9" s="189">
        <f>SUM(G53:G57)</f>
        <v>112657.726</v>
      </c>
      <c r="H9" s="317">
        <f>SUM(H53:H57)</f>
        <v>705595.52599999995</v>
      </c>
      <c r="N9" s="70"/>
    </row>
    <row r="10" spans="1:14" x14ac:dyDescent="0.25">
      <c r="A10" s="910" t="s">
        <v>76</v>
      </c>
      <c r="B10" s="911"/>
      <c r="C10" s="911"/>
      <c r="D10" s="911"/>
      <c r="E10" s="911"/>
      <c r="F10" s="318">
        <f>SUM(F3:F9)</f>
        <v>3023442.1719999998</v>
      </c>
      <c r="G10" s="318">
        <f>SUM(G3:G9)</f>
        <v>574454.01268000004</v>
      </c>
      <c r="H10" s="319">
        <f>SUM(H3:H9)</f>
        <v>3597928.5846800003</v>
      </c>
    </row>
    <row r="11" spans="1:14" x14ac:dyDescent="0.25">
      <c r="A11" s="936" t="s">
        <v>247</v>
      </c>
      <c r="B11" s="937"/>
      <c r="C11" s="937"/>
      <c r="D11" s="937"/>
      <c r="E11" s="937"/>
      <c r="F11" s="937"/>
      <c r="G11" s="937"/>
      <c r="H11" s="319">
        <v>2403608.8820000002</v>
      </c>
    </row>
    <row r="12" spans="1:14" ht="15.75" thickBot="1" x14ac:dyDescent="0.3">
      <c r="A12" s="938" t="s">
        <v>248</v>
      </c>
      <c r="B12" s="939"/>
      <c r="C12" s="939"/>
      <c r="D12" s="939"/>
      <c r="E12" s="939"/>
      <c r="F12" s="939"/>
      <c r="G12" s="939"/>
      <c r="H12" s="320">
        <f>+H10-H11</f>
        <v>1194319.7026800001</v>
      </c>
      <c r="J12" s="28"/>
    </row>
    <row r="13" spans="1:14" ht="15.75" thickBot="1" x14ac:dyDescent="0.3">
      <c r="A13" s="250"/>
      <c r="B13" s="15"/>
      <c r="C13" s="263"/>
      <c r="D13" s="180"/>
      <c r="E13" s="187"/>
      <c r="F13" s="187"/>
      <c r="G13" s="187"/>
      <c r="H13" s="187"/>
    </row>
    <row r="14" spans="1:14" x14ac:dyDescent="0.25">
      <c r="A14" s="541">
        <v>43683</v>
      </c>
      <c r="B14" s="542" t="s">
        <v>597</v>
      </c>
      <c r="C14" s="543" t="s">
        <v>167</v>
      </c>
      <c r="D14" s="544">
        <v>28240</v>
      </c>
      <c r="E14" s="545">
        <v>0.85</v>
      </c>
      <c r="F14" s="545">
        <f t="shared" ref="F14:F57" si="0">+D14*E14</f>
        <v>24004</v>
      </c>
      <c r="G14" s="545">
        <f t="shared" ref="G14:G57" si="1">+F14*0.19</f>
        <v>4560.76</v>
      </c>
      <c r="H14" s="546">
        <f t="shared" ref="H14:H56" si="2">+F14+G14+0.6</f>
        <v>28565.360000000001</v>
      </c>
      <c r="K14"/>
    </row>
    <row r="15" spans="1:14" x14ac:dyDescent="0.25">
      <c r="A15" s="547">
        <v>43704</v>
      </c>
      <c r="B15" s="548" t="s">
        <v>597</v>
      </c>
      <c r="C15" s="549" t="s">
        <v>167</v>
      </c>
      <c r="D15" s="550">
        <v>36360</v>
      </c>
      <c r="E15" s="551">
        <v>0.85</v>
      </c>
      <c r="F15" s="551">
        <f t="shared" si="0"/>
        <v>30906</v>
      </c>
      <c r="G15" s="551">
        <f t="shared" si="1"/>
        <v>5872.14</v>
      </c>
      <c r="H15" s="552">
        <f t="shared" si="2"/>
        <v>36778.74</v>
      </c>
      <c r="J15" s="28"/>
      <c r="K15"/>
    </row>
    <row r="16" spans="1:14" s="71" customFormat="1" x14ac:dyDescent="0.25">
      <c r="A16" s="547">
        <v>43708</v>
      </c>
      <c r="B16" s="548" t="s">
        <v>597</v>
      </c>
      <c r="C16" s="549" t="s">
        <v>167</v>
      </c>
      <c r="D16" s="550">
        <v>30120</v>
      </c>
      <c r="E16" s="551">
        <v>0.85</v>
      </c>
      <c r="F16" s="551">
        <f t="shared" si="0"/>
        <v>25602</v>
      </c>
      <c r="G16" s="551">
        <f t="shared" si="1"/>
        <v>4864.38</v>
      </c>
      <c r="H16" s="552">
        <f t="shared" si="2"/>
        <v>30466.98</v>
      </c>
      <c r="K16"/>
      <c r="M16"/>
    </row>
    <row r="17" spans="1:11" s="71" customFormat="1" x14ac:dyDescent="0.25">
      <c r="A17" s="547">
        <v>43532</v>
      </c>
      <c r="B17" s="548" t="s">
        <v>638</v>
      </c>
      <c r="C17" s="549" t="s">
        <v>167</v>
      </c>
      <c r="D17" s="550">
        <v>25354</v>
      </c>
      <c r="E17" s="551">
        <v>1.9</v>
      </c>
      <c r="F17" s="551">
        <f t="shared" si="0"/>
        <v>48172.6</v>
      </c>
      <c r="G17" s="551">
        <f t="shared" si="1"/>
        <v>9152.7939999999999</v>
      </c>
      <c r="H17" s="552">
        <f t="shared" si="2"/>
        <v>57325.993999999999</v>
      </c>
      <c r="K17" s="530"/>
    </row>
    <row r="18" spans="1:11" s="71" customFormat="1" x14ac:dyDescent="0.25">
      <c r="A18" s="547">
        <v>43535</v>
      </c>
      <c r="B18" s="548" t="s">
        <v>638</v>
      </c>
      <c r="C18" s="549" t="s">
        <v>167</v>
      </c>
      <c r="D18" s="550">
        <v>42080</v>
      </c>
      <c r="E18" s="551">
        <v>1.9</v>
      </c>
      <c r="F18" s="551">
        <f t="shared" si="0"/>
        <v>79952</v>
      </c>
      <c r="G18" s="551">
        <f t="shared" si="1"/>
        <v>15190.880000000001</v>
      </c>
      <c r="H18" s="552">
        <f t="shared" si="2"/>
        <v>95143.48000000001</v>
      </c>
      <c r="K18" s="530"/>
    </row>
    <row r="19" spans="1:11" s="71" customFormat="1" x14ac:dyDescent="0.25">
      <c r="A19" s="547">
        <v>43536</v>
      </c>
      <c r="B19" s="548" t="s">
        <v>638</v>
      </c>
      <c r="C19" s="549" t="s">
        <v>167</v>
      </c>
      <c r="D19" s="550">
        <v>42140</v>
      </c>
      <c r="E19" s="551">
        <v>1.9</v>
      </c>
      <c r="F19" s="551">
        <f t="shared" si="0"/>
        <v>80066</v>
      </c>
      <c r="G19" s="551">
        <f t="shared" si="1"/>
        <v>15212.54</v>
      </c>
      <c r="H19" s="552">
        <f t="shared" si="2"/>
        <v>95279.140000000014</v>
      </c>
      <c r="K19" s="530"/>
    </row>
    <row r="20" spans="1:11" s="71" customFormat="1" x14ac:dyDescent="0.25">
      <c r="A20" s="547">
        <v>43539</v>
      </c>
      <c r="B20" s="548" t="s">
        <v>638</v>
      </c>
      <c r="C20" s="549" t="s">
        <v>167</v>
      </c>
      <c r="D20" s="550">
        <v>33560</v>
      </c>
      <c r="E20" s="551">
        <v>1.9</v>
      </c>
      <c r="F20" s="551">
        <f t="shared" si="0"/>
        <v>63764</v>
      </c>
      <c r="G20" s="551">
        <f t="shared" si="1"/>
        <v>12115.16</v>
      </c>
      <c r="H20" s="552">
        <f t="shared" si="2"/>
        <v>75879.760000000009</v>
      </c>
      <c r="K20" s="530"/>
    </row>
    <row r="21" spans="1:11" s="71" customFormat="1" x14ac:dyDescent="0.25">
      <c r="A21" s="547">
        <v>43552</v>
      </c>
      <c r="B21" s="548" t="s">
        <v>638</v>
      </c>
      <c r="C21" s="549" t="s">
        <v>167</v>
      </c>
      <c r="D21" s="550">
        <v>34720</v>
      </c>
      <c r="E21" s="551">
        <v>1.9</v>
      </c>
      <c r="F21" s="551">
        <f t="shared" si="0"/>
        <v>65968</v>
      </c>
      <c r="G21" s="551">
        <f t="shared" si="1"/>
        <v>12533.92</v>
      </c>
      <c r="H21" s="552">
        <f t="shared" si="2"/>
        <v>78502.52</v>
      </c>
      <c r="K21" s="530"/>
    </row>
    <row r="22" spans="1:11" s="71" customFormat="1" x14ac:dyDescent="0.25">
      <c r="A22" s="547">
        <v>43564</v>
      </c>
      <c r="B22" s="548" t="s">
        <v>638</v>
      </c>
      <c r="C22" s="549" t="s">
        <v>167</v>
      </c>
      <c r="D22" s="550">
        <v>35360</v>
      </c>
      <c r="E22" s="551">
        <v>1.9</v>
      </c>
      <c r="F22" s="551">
        <f t="shared" si="0"/>
        <v>67184</v>
      </c>
      <c r="G22" s="551">
        <f t="shared" si="1"/>
        <v>12764.960000000001</v>
      </c>
      <c r="H22" s="552">
        <f t="shared" si="2"/>
        <v>79949.560000000012</v>
      </c>
      <c r="K22" s="530"/>
    </row>
    <row r="23" spans="1:11" s="71" customFormat="1" x14ac:dyDescent="0.25">
      <c r="A23" s="547">
        <v>43567</v>
      </c>
      <c r="B23" s="548" t="s">
        <v>638</v>
      </c>
      <c r="C23" s="549" t="s">
        <v>167</v>
      </c>
      <c r="D23" s="550">
        <v>31360</v>
      </c>
      <c r="E23" s="551">
        <v>1.9</v>
      </c>
      <c r="F23" s="551">
        <f t="shared" si="0"/>
        <v>59584</v>
      </c>
      <c r="G23" s="551">
        <f t="shared" si="1"/>
        <v>11320.960000000001</v>
      </c>
      <c r="H23" s="552">
        <f t="shared" si="2"/>
        <v>70905.560000000012</v>
      </c>
      <c r="K23" s="530"/>
    </row>
    <row r="24" spans="1:11" s="71" customFormat="1" x14ac:dyDescent="0.25">
      <c r="A24" s="547">
        <v>43574</v>
      </c>
      <c r="B24" s="548" t="s">
        <v>638</v>
      </c>
      <c r="C24" s="549" t="s">
        <v>167</v>
      </c>
      <c r="D24" s="550">
        <v>31680</v>
      </c>
      <c r="E24" s="551">
        <v>1.9</v>
      </c>
      <c r="F24" s="551">
        <f t="shared" si="0"/>
        <v>60192</v>
      </c>
      <c r="G24" s="551">
        <f t="shared" si="1"/>
        <v>11436.48</v>
      </c>
      <c r="H24" s="552">
        <f t="shared" si="2"/>
        <v>71629.08</v>
      </c>
      <c r="K24" s="530"/>
    </row>
    <row r="25" spans="1:11" s="71" customFormat="1" x14ac:dyDescent="0.25">
      <c r="A25" s="547">
        <v>43592</v>
      </c>
      <c r="B25" s="548" t="s">
        <v>638</v>
      </c>
      <c r="C25" s="549" t="s">
        <v>167</v>
      </c>
      <c r="D25" s="550">
        <v>27400</v>
      </c>
      <c r="E25" s="551">
        <v>1.9</v>
      </c>
      <c r="F25" s="551">
        <f t="shared" si="0"/>
        <v>52060</v>
      </c>
      <c r="G25" s="551">
        <f t="shared" si="1"/>
        <v>9891.4</v>
      </c>
      <c r="H25" s="552">
        <f t="shared" si="2"/>
        <v>61952</v>
      </c>
      <c r="K25" s="530"/>
    </row>
    <row r="26" spans="1:11" s="71" customFormat="1" x14ac:dyDescent="0.25">
      <c r="A26" s="547">
        <v>43598</v>
      </c>
      <c r="B26" s="548" t="s">
        <v>638</v>
      </c>
      <c r="C26" s="549" t="s">
        <v>167</v>
      </c>
      <c r="D26" s="550">
        <v>26560</v>
      </c>
      <c r="E26" s="551">
        <v>1.9</v>
      </c>
      <c r="F26" s="551">
        <f t="shared" si="0"/>
        <v>50464</v>
      </c>
      <c r="G26" s="551">
        <f t="shared" si="1"/>
        <v>9588.16</v>
      </c>
      <c r="H26" s="552">
        <f t="shared" si="2"/>
        <v>60052.76</v>
      </c>
      <c r="K26" s="530"/>
    </row>
    <row r="27" spans="1:11" s="71" customFormat="1" x14ac:dyDescent="0.25">
      <c r="A27" s="547">
        <v>43602</v>
      </c>
      <c r="B27" s="548" t="s">
        <v>638</v>
      </c>
      <c r="C27" s="549" t="s">
        <v>167</v>
      </c>
      <c r="D27" s="550">
        <v>29800</v>
      </c>
      <c r="E27" s="551">
        <v>1.9</v>
      </c>
      <c r="F27" s="551">
        <f t="shared" si="0"/>
        <v>56620</v>
      </c>
      <c r="G27" s="551">
        <f t="shared" si="1"/>
        <v>10757.8</v>
      </c>
      <c r="H27" s="552">
        <f t="shared" si="2"/>
        <v>67378.400000000009</v>
      </c>
      <c r="K27" s="530"/>
    </row>
    <row r="28" spans="1:11" s="71" customFormat="1" x14ac:dyDescent="0.25">
      <c r="A28" s="547">
        <v>43610</v>
      </c>
      <c r="B28" s="548" t="s">
        <v>638</v>
      </c>
      <c r="C28" s="549" t="s">
        <v>167</v>
      </c>
      <c r="D28" s="550">
        <v>32400</v>
      </c>
      <c r="E28" s="551">
        <v>1.9</v>
      </c>
      <c r="F28" s="551">
        <f t="shared" si="0"/>
        <v>61560</v>
      </c>
      <c r="G28" s="551">
        <f t="shared" si="1"/>
        <v>11696.4</v>
      </c>
      <c r="H28" s="552">
        <f t="shared" si="2"/>
        <v>73257</v>
      </c>
      <c r="K28" s="530"/>
    </row>
    <row r="29" spans="1:11" s="71" customFormat="1" x14ac:dyDescent="0.25">
      <c r="A29" s="547">
        <v>43676</v>
      </c>
      <c r="B29" s="548" t="s">
        <v>638</v>
      </c>
      <c r="C29" s="549" t="s">
        <v>167</v>
      </c>
      <c r="D29" s="550">
        <v>32360</v>
      </c>
      <c r="E29" s="551">
        <v>1.9</v>
      </c>
      <c r="F29" s="551">
        <f t="shared" si="0"/>
        <v>61484</v>
      </c>
      <c r="G29" s="551">
        <f t="shared" si="1"/>
        <v>11681.960000000001</v>
      </c>
      <c r="H29" s="552">
        <f t="shared" si="2"/>
        <v>73166.560000000012</v>
      </c>
      <c r="K29" s="530"/>
    </row>
    <row r="30" spans="1:11" s="71" customFormat="1" x14ac:dyDescent="0.25">
      <c r="A30" s="547">
        <v>43679</v>
      </c>
      <c r="B30" s="548" t="s">
        <v>638</v>
      </c>
      <c r="C30" s="549" t="s">
        <v>167</v>
      </c>
      <c r="D30" s="550">
        <v>31860</v>
      </c>
      <c r="E30" s="551">
        <v>2.1</v>
      </c>
      <c r="F30" s="551">
        <f t="shared" si="0"/>
        <v>66906</v>
      </c>
      <c r="G30" s="551">
        <f t="shared" si="1"/>
        <v>12712.14</v>
      </c>
      <c r="H30" s="552">
        <f t="shared" si="2"/>
        <v>79618.740000000005</v>
      </c>
      <c r="K30" s="530"/>
    </row>
    <row r="31" spans="1:11" s="71" customFormat="1" x14ac:dyDescent="0.25">
      <c r="A31" s="547">
        <v>43711</v>
      </c>
      <c r="B31" s="548" t="s">
        <v>638</v>
      </c>
      <c r="C31" s="549" t="s">
        <v>167</v>
      </c>
      <c r="D31" s="550">
        <v>27740</v>
      </c>
      <c r="E31" s="551">
        <v>2.1</v>
      </c>
      <c r="F31" s="551">
        <f t="shared" si="0"/>
        <v>58254</v>
      </c>
      <c r="G31" s="551">
        <f t="shared" si="1"/>
        <v>11068.26</v>
      </c>
      <c r="H31" s="552">
        <f t="shared" si="2"/>
        <v>69322.86</v>
      </c>
      <c r="K31" s="530"/>
    </row>
    <row r="32" spans="1:11" s="71" customFormat="1" x14ac:dyDescent="0.25">
      <c r="A32" s="547">
        <v>43733</v>
      </c>
      <c r="B32" s="548" t="s">
        <v>638</v>
      </c>
      <c r="C32" s="549" t="s">
        <v>167</v>
      </c>
      <c r="D32" s="550">
        <v>31220</v>
      </c>
      <c r="E32" s="551">
        <v>2.1</v>
      </c>
      <c r="F32" s="551">
        <f t="shared" si="0"/>
        <v>65562</v>
      </c>
      <c r="G32" s="551">
        <f t="shared" si="1"/>
        <v>12456.78</v>
      </c>
      <c r="H32" s="552">
        <f t="shared" si="2"/>
        <v>78019.38</v>
      </c>
      <c r="K32" s="530"/>
    </row>
    <row r="33" spans="1:15" s="71" customFormat="1" x14ac:dyDescent="0.25">
      <c r="A33" s="547">
        <v>43734</v>
      </c>
      <c r="B33" s="548" t="s">
        <v>638</v>
      </c>
      <c r="C33" s="549" t="s">
        <v>167</v>
      </c>
      <c r="D33" s="550">
        <v>29940</v>
      </c>
      <c r="E33" s="551">
        <v>2.1</v>
      </c>
      <c r="F33" s="551">
        <f t="shared" si="0"/>
        <v>62874</v>
      </c>
      <c r="G33" s="551">
        <f t="shared" si="1"/>
        <v>11946.06</v>
      </c>
      <c r="H33" s="552">
        <f t="shared" si="2"/>
        <v>74820.66</v>
      </c>
      <c r="K33" s="530"/>
    </row>
    <row r="34" spans="1:15" s="71" customFormat="1" x14ac:dyDescent="0.25">
      <c r="A34" s="547">
        <v>43739</v>
      </c>
      <c r="B34" s="548" t="s">
        <v>638</v>
      </c>
      <c r="C34" s="549" t="s">
        <v>167</v>
      </c>
      <c r="D34" s="550">
        <v>33300</v>
      </c>
      <c r="E34" s="551">
        <v>2</v>
      </c>
      <c r="F34" s="551">
        <f t="shared" si="0"/>
        <v>66600</v>
      </c>
      <c r="G34" s="551">
        <f t="shared" si="1"/>
        <v>12654</v>
      </c>
      <c r="H34" s="552">
        <f t="shared" si="2"/>
        <v>79254.600000000006</v>
      </c>
      <c r="K34" s="530"/>
    </row>
    <row r="35" spans="1:15" s="71" customFormat="1" x14ac:dyDescent="0.25">
      <c r="A35" s="547">
        <v>43740</v>
      </c>
      <c r="B35" s="548" t="s">
        <v>638</v>
      </c>
      <c r="C35" s="549" t="s">
        <v>167</v>
      </c>
      <c r="D35" s="550">
        <v>21800</v>
      </c>
      <c r="E35" s="551">
        <v>2</v>
      </c>
      <c r="F35" s="551">
        <f t="shared" si="0"/>
        <v>43600</v>
      </c>
      <c r="G35" s="551">
        <f t="shared" si="1"/>
        <v>8284</v>
      </c>
      <c r="H35" s="552">
        <f t="shared" si="2"/>
        <v>51884.6</v>
      </c>
      <c r="K35" s="530"/>
    </row>
    <row r="36" spans="1:15" s="71" customFormat="1" x14ac:dyDescent="0.25">
      <c r="A36" s="547">
        <v>43746</v>
      </c>
      <c r="B36" s="548" t="s">
        <v>638</v>
      </c>
      <c r="C36" s="549" t="s">
        <v>167</v>
      </c>
      <c r="D36" s="550">
        <v>27720</v>
      </c>
      <c r="E36" s="551">
        <v>2</v>
      </c>
      <c r="F36" s="551">
        <f t="shared" si="0"/>
        <v>55440</v>
      </c>
      <c r="G36" s="551">
        <f t="shared" si="1"/>
        <v>10533.6</v>
      </c>
      <c r="H36" s="552">
        <f t="shared" si="2"/>
        <v>65974.200000000012</v>
      </c>
      <c r="K36" s="530"/>
    </row>
    <row r="37" spans="1:15" s="71" customFormat="1" x14ac:dyDescent="0.25">
      <c r="A37" s="547">
        <v>43748</v>
      </c>
      <c r="B37" s="548" t="s">
        <v>638</v>
      </c>
      <c r="C37" s="549" t="s">
        <v>167</v>
      </c>
      <c r="D37" s="550">
        <v>31250</v>
      </c>
      <c r="E37" s="551">
        <v>2</v>
      </c>
      <c r="F37" s="551">
        <f t="shared" si="0"/>
        <v>62500</v>
      </c>
      <c r="G37" s="551">
        <f t="shared" si="1"/>
        <v>11875</v>
      </c>
      <c r="H37" s="552">
        <f t="shared" si="2"/>
        <v>74375.600000000006</v>
      </c>
      <c r="K37" s="530"/>
    </row>
    <row r="38" spans="1:15" s="71" customFormat="1" x14ac:dyDescent="0.25">
      <c r="A38" s="547">
        <v>43749</v>
      </c>
      <c r="B38" s="548" t="s">
        <v>638</v>
      </c>
      <c r="C38" s="549" t="s">
        <v>167</v>
      </c>
      <c r="D38" s="550">
        <v>29020</v>
      </c>
      <c r="E38" s="551">
        <v>2</v>
      </c>
      <c r="F38" s="551">
        <f t="shared" si="0"/>
        <v>58040</v>
      </c>
      <c r="G38" s="551">
        <f t="shared" si="1"/>
        <v>11027.6</v>
      </c>
      <c r="H38" s="552">
        <f t="shared" si="2"/>
        <v>69068.200000000012</v>
      </c>
      <c r="K38" s="530"/>
    </row>
    <row r="39" spans="1:15" s="71" customFormat="1" x14ac:dyDescent="0.25">
      <c r="A39" s="547">
        <v>43754</v>
      </c>
      <c r="B39" s="548" t="s">
        <v>638</v>
      </c>
      <c r="C39" s="549" t="s">
        <v>167</v>
      </c>
      <c r="D39" s="550">
        <v>35800</v>
      </c>
      <c r="E39" s="551">
        <v>2</v>
      </c>
      <c r="F39" s="551">
        <f t="shared" si="0"/>
        <v>71600</v>
      </c>
      <c r="G39" s="551">
        <f t="shared" si="1"/>
        <v>13604</v>
      </c>
      <c r="H39" s="552">
        <f t="shared" si="2"/>
        <v>85204.6</v>
      </c>
      <c r="K39" s="530"/>
    </row>
    <row r="40" spans="1:15" s="71" customFormat="1" x14ac:dyDescent="0.25">
      <c r="A40" s="547">
        <v>43759</v>
      </c>
      <c r="B40" s="548" t="s">
        <v>638</v>
      </c>
      <c r="C40" s="549" t="s">
        <v>167</v>
      </c>
      <c r="D40" s="550">
        <v>29080</v>
      </c>
      <c r="E40" s="551">
        <v>1.9</v>
      </c>
      <c r="F40" s="551">
        <f t="shared" si="0"/>
        <v>55252</v>
      </c>
      <c r="G40" s="551">
        <f t="shared" si="1"/>
        <v>10497.880000000001</v>
      </c>
      <c r="H40" s="552">
        <f t="shared" si="2"/>
        <v>65750.48000000001</v>
      </c>
      <c r="K40" s="530"/>
      <c r="O40" s="530"/>
    </row>
    <row r="41" spans="1:15" s="71" customFormat="1" x14ac:dyDescent="0.25">
      <c r="A41" s="547">
        <v>43761</v>
      </c>
      <c r="B41" s="548" t="s">
        <v>638</v>
      </c>
      <c r="C41" s="549" t="s">
        <v>167</v>
      </c>
      <c r="D41" s="550">
        <v>29820</v>
      </c>
      <c r="E41" s="551">
        <v>1.9</v>
      </c>
      <c r="F41" s="551">
        <f t="shared" si="0"/>
        <v>56658</v>
      </c>
      <c r="G41" s="551">
        <f t="shared" si="1"/>
        <v>10765.02</v>
      </c>
      <c r="H41" s="552">
        <f t="shared" si="2"/>
        <v>67423.62000000001</v>
      </c>
      <c r="K41" s="530"/>
      <c r="O41" s="530"/>
    </row>
    <row r="42" spans="1:15" s="71" customFormat="1" x14ac:dyDescent="0.25">
      <c r="A42" s="366">
        <v>43766</v>
      </c>
      <c r="B42" s="266" t="s">
        <v>638</v>
      </c>
      <c r="C42" s="270" t="s">
        <v>167</v>
      </c>
      <c r="D42" s="271">
        <v>31580</v>
      </c>
      <c r="E42" s="272">
        <v>1.9</v>
      </c>
      <c r="F42" s="272">
        <f t="shared" si="0"/>
        <v>60002</v>
      </c>
      <c r="G42" s="272">
        <f t="shared" si="1"/>
        <v>11400.380000000001</v>
      </c>
      <c r="H42" s="367">
        <f t="shared" si="2"/>
        <v>71402.98000000001</v>
      </c>
      <c r="K42" s="530"/>
      <c r="O42" s="530"/>
    </row>
    <row r="43" spans="1:15" s="71" customFormat="1" x14ac:dyDescent="0.25">
      <c r="A43" s="366">
        <v>43769</v>
      </c>
      <c r="B43" s="266" t="s">
        <v>638</v>
      </c>
      <c r="C43" s="270" t="s">
        <v>167</v>
      </c>
      <c r="D43" s="271">
        <v>24880</v>
      </c>
      <c r="E43" s="272">
        <v>1.9</v>
      </c>
      <c r="F43" s="272">
        <f t="shared" si="0"/>
        <v>47272</v>
      </c>
      <c r="G43" s="272">
        <f t="shared" si="1"/>
        <v>8981.68</v>
      </c>
      <c r="H43" s="367">
        <f t="shared" si="2"/>
        <v>56254.28</v>
      </c>
      <c r="K43" s="530"/>
      <c r="O43" s="530"/>
    </row>
    <row r="44" spans="1:15" s="71" customFormat="1" x14ac:dyDescent="0.25">
      <c r="A44" s="366">
        <v>43773</v>
      </c>
      <c r="B44" s="266" t="s">
        <v>638</v>
      </c>
      <c r="C44" s="270" t="s">
        <v>167</v>
      </c>
      <c r="D44" s="271">
        <v>26820</v>
      </c>
      <c r="E44" s="272">
        <v>2</v>
      </c>
      <c r="F44" s="272">
        <f t="shared" si="0"/>
        <v>53640</v>
      </c>
      <c r="G44" s="272">
        <f t="shared" si="1"/>
        <v>10191.6</v>
      </c>
      <c r="H44" s="367">
        <f t="shared" si="2"/>
        <v>63832.2</v>
      </c>
      <c r="K44" s="530"/>
      <c r="O44" s="530"/>
    </row>
    <row r="45" spans="1:15" s="71" customFormat="1" x14ac:dyDescent="0.25">
      <c r="A45" s="366">
        <v>43774</v>
      </c>
      <c r="B45" s="266" t="s">
        <v>638</v>
      </c>
      <c r="C45" s="270" t="s">
        <v>167</v>
      </c>
      <c r="D45" s="271">
        <v>23980</v>
      </c>
      <c r="E45" s="272">
        <v>2</v>
      </c>
      <c r="F45" s="272">
        <f t="shared" si="0"/>
        <v>47960</v>
      </c>
      <c r="G45" s="272">
        <f t="shared" si="1"/>
        <v>9112.4</v>
      </c>
      <c r="H45" s="367">
        <f t="shared" si="2"/>
        <v>57073</v>
      </c>
      <c r="K45" s="530"/>
    </row>
    <row r="46" spans="1:15" s="71" customFormat="1" x14ac:dyDescent="0.25">
      <c r="A46" s="366">
        <v>43776</v>
      </c>
      <c r="B46" s="266" t="s">
        <v>638</v>
      </c>
      <c r="C46" s="270" t="s">
        <v>167</v>
      </c>
      <c r="D46" s="271">
        <v>29820</v>
      </c>
      <c r="E46" s="272">
        <v>2</v>
      </c>
      <c r="F46" s="272">
        <f t="shared" si="0"/>
        <v>59640</v>
      </c>
      <c r="G46" s="272">
        <f t="shared" si="1"/>
        <v>11331.6</v>
      </c>
      <c r="H46" s="367">
        <f t="shared" si="2"/>
        <v>70972.200000000012</v>
      </c>
      <c r="K46" s="530"/>
    </row>
    <row r="47" spans="1:15" s="71" customFormat="1" x14ac:dyDescent="0.25">
      <c r="A47" s="366">
        <v>43782</v>
      </c>
      <c r="B47" s="266" t="s">
        <v>638</v>
      </c>
      <c r="C47" s="270" t="s">
        <v>167</v>
      </c>
      <c r="D47" s="271">
        <v>25560</v>
      </c>
      <c r="E47" s="272">
        <v>2</v>
      </c>
      <c r="F47" s="272">
        <f t="shared" si="0"/>
        <v>51120</v>
      </c>
      <c r="G47" s="272">
        <f t="shared" si="1"/>
        <v>9712.7999999999993</v>
      </c>
      <c r="H47" s="367">
        <f t="shared" si="2"/>
        <v>60833.4</v>
      </c>
      <c r="K47" s="530"/>
    </row>
    <row r="48" spans="1:15" s="71" customFormat="1" x14ac:dyDescent="0.25">
      <c r="A48" s="366">
        <v>43784</v>
      </c>
      <c r="B48" s="266" t="s">
        <v>638</v>
      </c>
      <c r="C48" s="270" t="s">
        <v>167</v>
      </c>
      <c r="D48" s="271">
        <v>29680</v>
      </c>
      <c r="E48" s="272">
        <v>2</v>
      </c>
      <c r="F48" s="272">
        <f t="shared" si="0"/>
        <v>59360</v>
      </c>
      <c r="G48" s="272">
        <f t="shared" si="1"/>
        <v>11278.4</v>
      </c>
      <c r="H48" s="367">
        <f t="shared" si="2"/>
        <v>70639</v>
      </c>
      <c r="K48" s="530"/>
    </row>
    <row r="49" spans="1:11" s="71" customFormat="1" x14ac:dyDescent="0.25">
      <c r="A49" s="366">
        <v>43787</v>
      </c>
      <c r="B49" s="266" t="s">
        <v>638</v>
      </c>
      <c r="C49" s="270" t="s">
        <v>167</v>
      </c>
      <c r="D49" s="271">
        <v>38480</v>
      </c>
      <c r="E49" s="272">
        <v>2</v>
      </c>
      <c r="F49" s="272">
        <f t="shared" si="0"/>
        <v>76960</v>
      </c>
      <c r="G49" s="272">
        <f t="shared" si="1"/>
        <v>14622.4</v>
      </c>
      <c r="H49" s="367">
        <f t="shared" si="2"/>
        <v>91583</v>
      </c>
      <c r="K49" s="530"/>
    </row>
    <row r="50" spans="1:11" s="71" customFormat="1" x14ac:dyDescent="0.25">
      <c r="A50" s="547">
        <v>43790</v>
      </c>
      <c r="B50" s="548" t="s">
        <v>638</v>
      </c>
      <c r="C50" s="549" t="s">
        <v>167</v>
      </c>
      <c r="D50" s="550">
        <v>22620</v>
      </c>
      <c r="E50" s="551">
        <v>2</v>
      </c>
      <c r="F50" s="551">
        <f t="shared" si="0"/>
        <v>45240</v>
      </c>
      <c r="G50" s="551">
        <f t="shared" si="1"/>
        <v>8595.6</v>
      </c>
      <c r="H50" s="552">
        <f t="shared" si="2"/>
        <v>53836.2</v>
      </c>
      <c r="K50" s="530"/>
    </row>
    <row r="51" spans="1:11" s="71" customFormat="1" x14ac:dyDescent="0.25">
      <c r="A51" s="366">
        <v>43796</v>
      </c>
      <c r="B51" s="266" t="s">
        <v>638</v>
      </c>
      <c r="C51" s="270" t="s">
        <v>167</v>
      </c>
      <c r="D51" s="271">
        <v>23400</v>
      </c>
      <c r="E51" s="272">
        <v>2</v>
      </c>
      <c r="F51" s="272">
        <f t="shared" si="0"/>
        <v>46800</v>
      </c>
      <c r="G51" s="272">
        <f t="shared" si="1"/>
        <v>8892</v>
      </c>
      <c r="H51" s="367">
        <f t="shared" si="2"/>
        <v>55692.6</v>
      </c>
      <c r="K51" s="530"/>
    </row>
    <row r="52" spans="1:11" s="71" customFormat="1" x14ac:dyDescent="0.25">
      <c r="A52" s="366">
        <v>43798</v>
      </c>
      <c r="B52" s="266" t="s">
        <v>638</v>
      </c>
      <c r="C52" s="270" t="s">
        <v>167</v>
      </c>
      <c r="D52" s="271">
        <v>31360</v>
      </c>
      <c r="E52" s="272">
        <v>2</v>
      </c>
      <c r="F52" s="272">
        <f t="shared" si="0"/>
        <v>62720</v>
      </c>
      <c r="G52" s="272">
        <f t="shared" si="1"/>
        <v>11916.8</v>
      </c>
      <c r="H52" s="367">
        <f t="shared" si="2"/>
        <v>74637.400000000009</v>
      </c>
      <c r="K52" s="530"/>
    </row>
    <row r="53" spans="1:11" s="71" customFormat="1" x14ac:dyDescent="0.25">
      <c r="A53" s="547">
        <v>43753</v>
      </c>
      <c r="B53" s="548" t="s">
        <v>266</v>
      </c>
      <c r="C53" s="549" t="s">
        <v>167</v>
      </c>
      <c r="D53" s="550">
        <v>30177</v>
      </c>
      <c r="E53" s="551">
        <v>4.5999999999999996</v>
      </c>
      <c r="F53" s="551">
        <f t="shared" si="0"/>
        <v>138814.19999999998</v>
      </c>
      <c r="G53" s="551">
        <f t="shared" si="1"/>
        <v>26374.697999999997</v>
      </c>
      <c r="H53" s="552">
        <f t="shared" si="2"/>
        <v>165189.49799999999</v>
      </c>
      <c r="K53" s="530"/>
    </row>
    <row r="54" spans="1:11" s="71" customFormat="1" x14ac:dyDescent="0.25">
      <c r="A54" s="366">
        <v>43761</v>
      </c>
      <c r="B54" s="266" t="s">
        <v>266</v>
      </c>
      <c r="C54" s="270" t="s">
        <v>167</v>
      </c>
      <c r="D54" s="271">
        <v>34527</v>
      </c>
      <c r="E54" s="272">
        <v>4.5999999999999996</v>
      </c>
      <c r="F54" s="272">
        <f t="shared" si="0"/>
        <v>158824.19999999998</v>
      </c>
      <c r="G54" s="272">
        <f t="shared" si="1"/>
        <v>30176.597999999998</v>
      </c>
      <c r="H54" s="367">
        <f t="shared" si="2"/>
        <v>189001.39799999999</v>
      </c>
      <c r="K54" s="530"/>
    </row>
    <row r="55" spans="1:11" s="71" customFormat="1" x14ac:dyDescent="0.25">
      <c r="A55" s="366">
        <v>43769</v>
      </c>
      <c r="B55" s="266" t="s">
        <v>266</v>
      </c>
      <c r="C55" s="270" t="s">
        <v>167</v>
      </c>
      <c r="D55" s="271">
        <v>31615</v>
      </c>
      <c r="E55" s="272">
        <v>4.5999999999999996</v>
      </c>
      <c r="F55" s="272">
        <f t="shared" si="0"/>
        <v>145429</v>
      </c>
      <c r="G55" s="272">
        <f t="shared" si="1"/>
        <v>27631.510000000002</v>
      </c>
      <c r="H55" s="367">
        <f t="shared" si="2"/>
        <v>173061.11000000002</v>
      </c>
      <c r="K55" s="530"/>
    </row>
    <row r="56" spans="1:11" s="71" customFormat="1" x14ac:dyDescent="0.25">
      <c r="A56" s="366">
        <v>43773</v>
      </c>
      <c r="B56" s="266" t="s">
        <v>266</v>
      </c>
      <c r="C56" s="270" t="s">
        <v>167</v>
      </c>
      <c r="D56" s="271">
        <v>17560</v>
      </c>
      <c r="E56" s="272">
        <v>4.5999999999999996</v>
      </c>
      <c r="F56" s="272">
        <f t="shared" si="0"/>
        <v>80776</v>
      </c>
      <c r="G56" s="272">
        <f t="shared" si="1"/>
        <v>15347.44</v>
      </c>
      <c r="H56" s="367">
        <f t="shared" si="2"/>
        <v>96124.040000000008</v>
      </c>
      <c r="K56" s="530"/>
    </row>
    <row r="57" spans="1:11" s="730" customFormat="1" x14ac:dyDescent="0.25">
      <c r="A57" s="366">
        <v>43815</v>
      </c>
      <c r="B57" s="266" t="s">
        <v>266</v>
      </c>
      <c r="C57" s="270" t="s">
        <v>167</v>
      </c>
      <c r="D57" s="271">
        <v>15020</v>
      </c>
      <c r="E57" s="272">
        <v>4.5999999999999996</v>
      </c>
      <c r="F57" s="272">
        <f t="shared" si="0"/>
        <v>69092</v>
      </c>
      <c r="G57" s="272">
        <f t="shared" si="1"/>
        <v>13127.48</v>
      </c>
      <c r="H57" s="367">
        <f>+F57+G57</f>
        <v>82219.48</v>
      </c>
      <c r="K57" s="792"/>
    </row>
    <row r="58" spans="1:11" s="71" customFormat="1" x14ac:dyDescent="0.25">
      <c r="A58" s="547">
        <v>43496</v>
      </c>
      <c r="B58" s="943" t="s">
        <v>1324</v>
      </c>
      <c r="C58" s="943"/>
      <c r="D58" s="943"/>
      <c r="E58" s="943"/>
      <c r="F58" s="551">
        <v>9375.5</v>
      </c>
      <c r="G58" s="551">
        <f>+F58*0.19</f>
        <v>1781.345</v>
      </c>
      <c r="H58" s="552">
        <f>+G58+F58+0.6</f>
        <v>11157.445</v>
      </c>
      <c r="K58" s="530"/>
    </row>
    <row r="59" spans="1:11" s="71" customFormat="1" x14ac:dyDescent="0.25">
      <c r="A59" s="547">
        <v>43521</v>
      </c>
      <c r="B59" s="943" t="s">
        <v>1324</v>
      </c>
      <c r="C59" s="943"/>
      <c r="D59" s="943"/>
      <c r="E59" s="943"/>
      <c r="F59" s="551">
        <v>8207.75</v>
      </c>
      <c r="G59" s="551">
        <f t="shared" ref="G59:G66" si="3">+F59*0.19</f>
        <v>1559.4725000000001</v>
      </c>
      <c r="H59" s="552">
        <f t="shared" ref="H59:H66" si="4">+G59+F59+0.6</f>
        <v>9767.8225000000002</v>
      </c>
      <c r="K59" s="530"/>
    </row>
    <row r="60" spans="1:11" s="71" customFormat="1" x14ac:dyDescent="0.25">
      <c r="A60" s="547">
        <v>43708</v>
      </c>
      <c r="B60" s="943" t="s">
        <v>1324</v>
      </c>
      <c r="C60" s="943"/>
      <c r="D60" s="943"/>
      <c r="E60" s="943"/>
      <c r="F60" s="551">
        <v>48939.75</v>
      </c>
      <c r="G60" s="551">
        <f t="shared" si="3"/>
        <v>9298.5524999999998</v>
      </c>
      <c r="H60" s="552">
        <f t="shared" si="4"/>
        <v>58238.902499999997</v>
      </c>
      <c r="K60" s="530"/>
    </row>
    <row r="61" spans="1:11" s="71" customFormat="1" x14ac:dyDescent="0.25">
      <c r="A61" s="366">
        <v>43777</v>
      </c>
      <c r="B61" s="942" t="s">
        <v>1324</v>
      </c>
      <c r="C61" s="942"/>
      <c r="D61" s="942"/>
      <c r="E61" s="942"/>
      <c r="F61" s="272">
        <v>22884</v>
      </c>
      <c r="G61" s="272">
        <f t="shared" si="3"/>
        <v>4347.96</v>
      </c>
      <c r="H61" s="367">
        <f t="shared" si="4"/>
        <v>27232.559999999998</v>
      </c>
      <c r="K61" s="530"/>
    </row>
    <row r="62" spans="1:11" s="71" customFormat="1" x14ac:dyDescent="0.25">
      <c r="A62" s="366">
        <v>43824</v>
      </c>
      <c r="B62" s="942" t="s">
        <v>1324</v>
      </c>
      <c r="C62" s="942"/>
      <c r="D62" s="942"/>
      <c r="E62" s="942"/>
      <c r="F62" s="272">
        <v>12103.25</v>
      </c>
      <c r="G62" s="272">
        <f t="shared" si="3"/>
        <v>2299.6174999999998</v>
      </c>
      <c r="H62" s="367">
        <f t="shared" si="4"/>
        <v>14403.467500000001</v>
      </c>
      <c r="K62" s="530"/>
    </row>
    <row r="63" spans="1:11" s="71" customFormat="1" x14ac:dyDescent="0.25">
      <c r="A63" s="547">
        <v>43708</v>
      </c>
      <c r="B63" s="943" t="s">
        <v>1325</v>
      </c>
      <c r="C63" s="943"/>
      <c r="D63" s="943"/>
      <c r="E63" s="943"/>
      <c r="F63" s="551">
        <v>10625.6</v>
      </c>
      <c r="G63" s="551">
        <f t="shared" si="3"/>
        <v>2018.864</v>
      </c>
      <c r="H63" s="552">
        <f t="shared" si="4"/>
        <v>12645.064</v>
      </c>
      <c r="K63" s="530"/>
    </row>
    <row r="64" spans="1:11" s="71" customFormat="1" x14ac:dyDescent="0.25">
      <c r="A64" s="547">
        <v>43769</v>
      </c>
      <c r="B64" s="943" t="s">
        <v>1325</v>
      </c>
      <c r="C64" s="943"/>
      <c r="D64" s="943"/>
      <c r="E64" s="943"/>
      <c r="F64" s="551">
        <v>578.5</v>
      </c>
      <c r="G64" s="551">
        <f t="shared" si="3"/>
        <v>109.91500000000001</v>
      </c>
      <c r="H64" s="552">
        <f t="shared" si="4"/>
        <v>689.01499999999999</v>
      </c>
      <c r="K64" s="530"/>
    </row>
    <row r="65" spans="1:11" s="71" customFormat="1" x14ac:dyDescent="0.25">
      <c r="A65" s="366">
        <v>43801</v>
      </c>
      <c r="B65" s="942" t="s">
        <v>1875</v>
      </c>
      <c r="C65" s="942"/>
      <c r="D65" s="942"/>
      <c r="E65" s="942"/>
      <c r="F65" s="272">
        <f>12085.656+604.283+120.857</f>
        <v>12810.796</v>
      </c>
      <c r="G65" s="272">
        <f t="shared" si="3"/>
        <v>2434.0512400000002</v>
      </c>
      <c r="H65" s="367">
        <f t="shared" si="4"/>
        <v>15245.447240000001</v>
      </c>
      <c r="K65" s="530"/>
    </row>
    <row r="66" spans="1:11" s="71" customFormat="1" x14ac:dyDescent="0.25">
      <c r="A66" s="366">
        <v>43829</v>
      </c>
      <c r="B66" s="942" t="s">
        <v>1875</v>
      </c>
      <c r="C66" s="942"/>
      <c r="D66" s="942"/>
      <c r="E66" s="942"/>
      <c r="F66" s="272">
        <f>1937.364+96.868+19.374</f>
        <v>2053.6059999999998</v>
      </c>
      <c r="G66" s="272">
        <f t="shared" si="3"/>
        <v>390.18513999999993</v>
      </c>
      <c r="H66" s="367">
        <f t="shared" si="4"/>
        <v>2444.3911399999997</v>
      </c>
      <c r="K66" s="530"/>
    </row>
    <row r="67" spans="1:11" s="71" customFormat="1" x14ac:dyDescent="0.25">
      <c r="A67" s="366">
        <v>43825</v>
      </c>
      <c r="B67" s="942" t="s">
        <v>1876</v>
      </c>
      <c r="C67" s="942"/>
      <c r="D67" s="942"/>
      <c r="E67" s="942"/>
      <c r="F67" s="272">
        <v>60000</v>
      </c>
      <c r="G67" s="272">
        <f>+F67*0.19</f>
        <v>11400</v>
      </c>
      <c r="H67" s="367">
        <f>+F67+G67+0.6</f>
        <v>71400.600000000006</v>
      </c>
      <c r="K67" s="530"/>
    </row>
    <row r="68" spans="1:11" s="71" customFormat="1" x14ac:dyDescent="0.25">
      <c r="A68" s="366">
        <v>43829</v>
      </c>
      <c r="B68" s="942" t="s">
        <v>1877</v>
      </c>
      <c r="C68" s="942"/>
      <c r="D68" s="942"/>
      <c r="E68" s="942"/>
      <c r="F68" s="272">
        <v>21345.42</v>
      </c>
      <c r="G68" s="272">
        <f>+F68*0.19</f>
        <v>4055.6297999999997</v>
      </c>
      <c r="H68" s="367">
        <f>+F68+G68+0.6</f>
        <v>25401.649799999996</v>
      </c>
      <c r="K68" s="530"/>
    </row>
    <row r="69" spans="1:11" s="71" customFormat="1" x14ac:dyDescent="0.25">
      <c r="A69" s="366"/>
      <c r="B69" s="266"/>
      <c r="C69" s="270"/>
      <c r="D69" s="271"/>
      <c r="E69" s="272"/>
      <c r="F69" s="272"/>
      <c r="G69" s="272"/>
      <c r="H69" s="367"/>
      <c r="K69" s="530"/>
    </row>
    <row r="70" spans="1:11" s="71" customFormat="1" x14ac:dyDescent="0.25">
      <c r="A70" s="366"/>
      <c r="B70" s="266"/>
      <c r="C70" s="270"/>
      <c r="D70" s="271"/>
      <c r="E70" s="272"/>
      <c r="F70" s="272"/>
      <c r="G70" s="272"/>
      <c r="H70" s="367"/>
      <c r="K70" s="530"/>
    </row>
    <row r="71" spans="1:11" s="71" customFormat="1" x14ac:dyDescent="0.25">
      <c r="A71" s="366"/>
      <c r="B71" s="266"/>
      <c r="C71" s="270"/>
      <c r="D71" s="271"/>
      <c r="E71" s="272"/>
      <c r="F71" s="272"/>
      <c r="G71" s="272"/>
      <c r="H71" s="367"/>
      <c r="K71" s="530"/>
    </row>
    <row r="72" spans="1:11" s="71" customFormat="1" x14ac:dyDescent="0.25">
      <c r="A72" s="366"/>
      <c r="B72" s="266"/>
      <c r="C72" s="270"/>
      <c r="D72" s="271"/>
      <c r="E72" s="272"/>
      <c r="F72" s="272"/>
      <c r="G72" s="272"/>
      <c r="H72" s="367"/>
      <c r="K72" s="530"/>
    </row>
    <row r="73" spans="1:11" s="71" customFormat="1" x14ac:dyDescent="0.25">
      <c r="A73" s="366"/>
      <c r="B73" s="266"/>
      <c r="C73" s="270"/>
      <c r="D73" s="271"/>
      <c r="E73" s="272"/>
      <c r="F73" s="272"/>
      <c r="G73" s="272"/>
      <c r="H73" s="367"/>
      <c r="K73" s="530"/>
    </row>
    <row r="74" spans="1:11" s="71" customFormat="1" x14ac:dyDescent="0.25">
      <c r="A74" s="366"/>
      <c r="B74" s="266"/>
      <c r="C74" s="270"/>
      <c r="D74" s="271"/>
      <c r="E74" s="272"/>
      <c r="F74" s="272"/>
      <c r="G74" s="272"/>
      <c r="H74" s="367"/>
      <c r="K74" s="530"/>
    </row>
    <row r="75" spans="1:11" s="71" customFormat="1" x14ac:dyDescent="0.25">
      <c r="A75" s="366"/>
      <c r="B75" s="266"/>
      <c r="C75" s="270"/>
      <c r="D75" s="271"/>
      <c r="E75" s="272"/>
      <c r="F75" s="272"/>
      <c r="G75" s="272"/>
      <c r="H75" s="367"/>
      <c r="K75" s="530"/>
    </row>
    <row r="76" spans="1:11" s="71" customFormat="1" x14ac:dyDescent="0.25">
      <c r="A76" s="366"/>
      <c r="B76" s="266"/>
      <c r="C76" s="270"/>
      <c r="D76" s="271"/>
      <c r="E76" s="272"/>
      <c r="F76" s="272"/>
      <c r="G76" s="272"/>
      <c r="H76" s="367"/>
      <c r="K76" s="530"/>
    </row>
    <row r="77" spans="1:11" s="71" customFormat="1" x14ac:dyDescent="0.25">
      <c r="A77" s="366"/>
      <c r="B77" s="266"/>
      <c r="C77" s="270"/>
      <c r="D77" s="271"/>
      <c r="E77" s="272"/>
      <c r="F77" s="272"/>
      <c r="G77" s="272"/>
      <c r="H77" s="367"/>
      <c r="K77" s="530"/>
    </row>
    <row r="78" spans="1:11" s="71" customFormat="1" x14ac:dyDescent="0.25">
      <c r="A78" s="366"/>
      <c r="B78" s="266"/>
      <c r="C78" s="270"/>
      <c r="D78" s="271"/>
      <c r="E78" s="272"/>
      <c r="F78" s="272"/>
      <c r="G78" s="272"/>
      <c r="H78" s="367"/>
      <c r="K78" s="530"/>
    </row>
    <row r="79" spans="1:11" s="71" customFormat="1" x14ac:dyDescent="0.25">
      <c r="A79" s="366"/>
      <c r="B79" s="266"/>
      <c r="C79" s="270"/>
      <c r="D79" s="271"/>
      <c r="E79" s="272"/>
      <c r="F79" s="272"/>
      <c r="G79" s="272"/>
      <c r="H79" s="367"/>
      <c r="K79" s="530"/>
    </row>
    <row r="80" spans="1:11" s="71" customFormat="1" x14ac:dyDescent="0.25">
      <c r="A80" s="366"/>
      <c r="B80" s="266"/>
      <c r="C80" s="270"/>
      <c r="D80" s="271"/>
      <c r="E80" s="272"/>
      <c r="F80" s="272"/>
      <c r="G80" s="272"/>
      <c r="H80" s="367"/>
      <c r="K80" s="530"/>
    </row>
    <row r="81" spans="1:11" s="71" customFormat="1" x14ac:dyDescent="0.25">
      <c r="A81" s="366"/>
      <c r="B81" s="266"/>
      <c r="C81" s="270"/>
      <c r="D81" s="271"/>
      <c r="E81" s="272"/>
      <c r="F81" s="272"/>
      <c r="G81" s="272"/>
      <c r="H81" s="367"/>
      <c r="K81" s="530"/>
    </row>
    <row r="82" spans="1:11" s="71" customFormat="1" x14ac:dyDescent="0.25">
      <c r="A82" s="366"/>
      <c r="B82" s="266"/>
      <c r="C82" s="270"/>
      <c r="D82" s="271"/>
      <c r="E82" s="272"/>
      <c r="F82" s="272"/>
      <c r="G82" s="272"/>
      <c r="H82" s="367"/>
      <c r="K82" s="530"/>
    </row>
    <row r="83" spans="1:11" s="71" customFormat="1" x14ac:dyDescent="0.25">
      <c r="A83" s="366"/>
      <c r="B83" s="266"/>
      <c r="C83" s="270"/>
      <c r="D83" s="271"/>
      <c r="E83" s="272"/>
      <c r="F83" s="272"/>
      <c r="G83" s="272"/>
      <c r="H83" s="367"/>
      <c r="K83" s="530"/>
    </row>
    <row r="84" spans="1:11" s="71" customFormat="1" x14ac:dyDescent="0.25">
      <c r="A84" s="366"/>
      <c r="B84" s="266"/>
      <c r="C84" s="270"/>
      <c r="D84" s="271"/>
      <c r="E84" s="272"/>
      <c r="F84" s="272"/>
      <c r="G84" s="272"/>
      <c r="H84" s="367"/>
      <c r="K84" s="530"/>
    </row>
    <row r="85" spans="1:11" ht="15.75" thickBot="1" x14ac:dyDescent="0.3">
      <c r="A85" s="368"/>
      <c r="B85" s="369"/>
      <c r="C85" s="370"/>
      <c r="D85" s="371"/>
      <c r="E85" s="372"/>
      <c r="F85" s="372"/>
      <c r="G85" s="372"/>
      <c r="H85" s="373"/>
    </row>
    <row r="86" spans="1:11" ht="15.75" thickBot="1" x14ac:dyDescent="0.3">
      <c r="A86" s="15"/>
      <c r="B86" s="15"/>
      <c r="C86" s="15"/>
      <c r="D86" s="15"/>
      <c r="E86" s="15"/>
      <c r="F86" s="15"/>
      <c r="G86" s="15"/>
      <c r="H86" s="435">
        <f>SUM(H14:H85)</f>
        <v>3597928.5846800003</v>
      </c>
    </row>
  </sheetData>
  <mergeCells count="29">
    <mergeCell ref="B65:E65"/>
    <mergeCell ref="B66:E66"/>
    <mergeCell ref="B67:E67"/>
    <mergeCell ref="B68:E68"/>
    <mergeCell ref="B59:E59"/>
    <mergeCell ref="B60:E60"/>
    <mergeCell ref="B61:E61"/>
    <mergeCell ref="B62:E62"/>
    <mergeCell ref="B63:E63"/>
    <mergeCell ref="B64:E64"/>
    <mergeCell ref="B58:E58"/>
    <mergeCell ref="A6:B6"/>
    <mergeCell ref="D6:E6"/>
    <mergeCell ref="A7:B7"/>
    <mergeCell ref="D7:E7"/>
    <mergeCell ref="A8:B8"/>
    <mergeCell ref="D8:E8"/>
    <mergeCell ref="A9:B9"/>
    <mergeCell ref="D9:E9"/>
    <mergeCell ref="A10:E10"/>
    <mergeCell ref="A11:G11"/>
    <mergeCell ref="A12:G12"/>
    <mergeCell ref="A5:B5"/>
    <mergeCell ref="D5:E5"/>
    <mergeCell ref="A1:H1"/>
    <mergeCell ref="A3:B3"/>
    <mergeCell ref="D3:E3"/>
    <mergeCell ref="A4:B4"/>
    <mergeCell ref="D4:E4"/>
  </mergeCells>
  <pageMargins left="0.7" right="0.38" top="0.75" bottom="0.75" header="0.3" footer="0.3"/>
  <pageSetup paperSize="9" orientation="portrait" horizontalDpi="180" verticalDpi="180" r:id="rId1"/>
  <ignoredErrors>
    <ignoredError sqref="D3:F9" formulaRange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P32"/>
  <sheetViews>
    <sheetView workbookViewId="0">
      <selection activeCell="L33" sqref="L33"/>
    </sheetView>
  </sheetViews>
  <sheetFormatPr baseColWidth="10" defaultRowHeight="15" x14ac:dyDescent="0.25"/>
  <cols>
    <col min="1" max="1" width="8.7109375" bestFit="1" customWidth="1"/>
    <col min="2" max="2" width="11.140625" bestFit="1" customWidth="1"/>
    <col min="3" max="3" width="3.42578125" bestFit="1" customWidth="1"/>
    <col min="4" max="4" width="7.85546875" bestFit="1" customWidth="1"/>
    <col min="5" max="5" width="4.85546875" bestFit="1" customWidth="1"/>
    <col min="6" max="7" width="10.85546875" bestFit="1" customWidth="1"/>
    <col min="8" max="8" width="12.28515625" bestFit="1" customWidth="1"/>
    <col min="9" max="9" width="3.42578125" customWidth="1"/>
    <col min="10" max="10" width="11" bestFit="1" customWidth="1"/>
    <col min="11" max="11" width="10.28515625" bestFit="1" customWidth="1"/>
    <col min="13" max="13" width="10.7109375" bestFit="1" customWidth="1"/>
    <col min="14" max="14" width="9" bestFit="1" customWidth="1"/>
    <col min="15" max="15" width="21.85546875" bestFit="1" customWidth="1"/>
    <col min="16" max="16" width="6.5703125" bestFit="1" customWidth="1"/>
  </cols>
  <sheetData>
    <row r="1" spans="1:16" ht="15.75" thickBot="1" x14ac:dyDescent="0.3">
      <c r="A1" s="914" t="s">
        <v>839</v>
      </c>
      <c r="B1" s="914"/>
      <c r="C1" s="914"/>
      <c r="D1" s="914"/>
      <c r="E1" s="914"/>
      <c r="F1" s="914"/>
      <c r="G1" s="914"/>
      <c r="H1" s="914"/>
    </row>
    <row r="2" spans="1:16" ht="15.75" thickBot="1" x14ac:dyDescent="0.3">
      <c r="A2" s="250"/>
      <c r="B2" s="15"/>
      <c r="C2" s="263"/>
      <c r="D2" s="180"/>
      <c r="E2" s="187"/>
      <c r="F2" s="187"/>
      <c r="G2" s="187"/>
      <c r="H2" s="187"/>
      <c r="M2" s="944" t="s">
        <v>921</v>
      </c>
      <c r="N2" s="945"/>
      <c r="O2" s="945"/>
      <c r="P2" s="946"/>
    </row>
    <row r="3" spans="1:16" ht="15.75" thickBot="1" x14ac:dyDescent="0.3">
      <c r="A3" s="915" t="s">
        <v>243</v>
      </c>
      <c r="B3" s="916"/>
      <c r="C3" s="314" t="s">
        <v>167</v>
      </c>
      <c r="D3" s="917">
        <v>0</v>
      </c>
      <c r="E3" s="918"/>
      <c r="F3" s="231">
        <v>0</v>
      </c>
      <c r="G3" s="231">
        <v>0</v>
      </c>
      <c r="H3" s="315">
        <f>+F3+G3</f>
        <v>0</v>
      </c>
      <c r="M3" s="696">
        <v>43634</v>
      </c>
      <c r="N3" s="697" t="s">
        <v>914</v>
      </c>
      <c r="O3" s="698" t="s">
        <v>915</v>
      </c>
      <c r="P3" s="699">
        <v>33820</v>
      </c>
    </row>
    <row r="4" spans="1:16" ht="15.75" thickBot="1" x14ac:dyDescent="0.3">
      <c r="A4" s="904" t="s">
        <v>244</v>
      </c>
      <c r="B4" s="905"/>
      <c r="C4" s="316" t="s">
        <v>167</v>
      </c>
      <c r="D4" s="906">
        <f>SUM(D12:D31)</f>
        <v>436069</v>
      </c>
      <c r="E4" s="907"/>
      <c r="F4" s="189">
        <f>SUM(F12:F31)</f>
        <v>866873.8</v>
      </c>
      <c r="G4" s="189">
        <f>SUM(G12:G31)</f>
        <v>164706.02199999997</v>
      </c>
      <c r="H4" s="317">
        <f>+F4+G4</f>
        <v>1031579.822</v>
      </c>
      <c r="M4" s="700">
        <v>43637</v>
      </c>
      <c r="N4" s="701" t="s">
        <v>914</v>
      </c>
      <c r="O4" s="702" t="s">
        <v>915</v>
      </c>
      <c r="P4" s="703">
        <v>39620</v>
      </c>
    </row>
    <row r="5" spans="1:16" ht="15.75" thickBot="1" x14ac:dyDescent="0.3">
      <c r="A5" s="904" t="s">
        <v>245</v>
      </c>
      <c r="B5" s="905"/>
      <c r="C5" s="316" t="s">
        <v>167</v>
      </c>
      <c r="D5" s="906">
        <v>0</v>
      </c>
      <c r="E5" s="907"/>
      <c r="F5" s="189">
        <v>0</v>
      </c>
      <c r="G5" s="189">
        <v>0</v>
      </c>
      <c r="H5" s="317">
        <f>+F5+G5</f>
        <v>0</v>
      </c>
      <c r="M5" s="700">
        <v>43641</v>
      </c>
      <c r="N5" s="701" t="s">
        <v>914</v>
      </c>
      <c r="O5" s="702" t="s">
        <v>915</v>
      </c>
      <c r="P5" s="703">
        <v>23260</v>
      </c>
    </row>
    <row r="6" spans="1:16" ht="15.75" thickBot="1" x14ac:dyDescent="0.3">
      <c r="A6" s="940" t="s">
        <v>262</v>
      </c>
      <c r="B6" s="941"/>
      <c r="C6" s="316" t="s">
        <v>167</v>
      </c>
      <c r="D6" s="906">
        <v>0</v>
      </c>
      <c r="E6" s="907"/>
      <c r="F6" s="189">
        <v>0</v>
      </c>
      <c r="G6" s="189">
        <v>0</v>
      </c>
      <c r="H6" s="317">
        <f>+F6+G6</f>
        <v>0</v>
      </c>
      <c r="M6" s="700">
        <v>43644</v>
      </c>
      <c r="N6" s="701" t="s">
        <v>914</v>
      </c>
      <c r="O6" s="702" t="s">
        <v>915</v>
      </c>
      <c r="P6" s="703">
        <v>31680</v>
      </c>
    </row>
    <row r="7" spans="1:16" ht="15.75" thickBot="1" x14ac:dyDescent="0.3">
      <c r="A7" s="904" t="s">
        <v>246</v>
      </c>
      <c r="B7" s="905"/>
      <c r="C7" s="316" t="s">
        <v>167</v>
      </c>
      <c r="D7" s="906">
        <v>0</v>
      </c>
      <c r="E7" s="907"/>
      <c r="F7" s="189">
        <v>0</v>
      </c>
      <c r="G7" s="189">
        <v>0</v>
      </c>
      <c r="H7" s="317">
        <f>+F7+G7</f>
        <v>0</v>
      </c>
      <c r="M7" s="700">
        <v>43649</v>
      </c>
      <c r="N7" s="701" t="s">
        <v>914</v>
      </c>
      <c r="O7" s="702" t="s">
        <v>915</v>
      </c>
      <c r="P7" s="703">
        <v>25140</v>
      </c>
    </row>
    <row r="8" spans="1:16" ht="15.75" thickBot="1" x14ac:dyDescent="0.3">
      <c r="A8" s="910" t="s">
        <v>76</v>
      </c>
      <c r="B8" s="911"/>
      <c r="C8" s="911"/>
      <c r="D8" s="911"/>
      <c r="E8" s="911"/>
      <c r="F8" s="318">
        <f>SUM(F3:F7)</f>
        <v>866873.8</v>
      </c>
      <c r="G8" s="318">
        <f>SUM(G3:G7)</f>
        <v>164706.02199999997</v>
      </c>
      <c r="H8" s="319">
        <f>SUM(H3:H7)</f>
        <v>1031579.822</v>
      </c>
      <c r="M8" s="700">
        <v>43652</v>
      </c>
      <c r="N8" s="701" t="s">
        <v>914</v>
      </c>
      <c r="O8" s="702" t="s">
        <v>915</v>
      </c>
      <c r="P8" s="703">
        <v>30540</v>
      </c>
    </row>
    <row r="9" spans="1:16" ht="15.75" thickBot="1" x14ac:dyDescent="0.3">
      <c r="A9" s="936" t="s">
        <v>247</v>
      </c>
      <c r="B9" s="937"/>
      <c r="C9" s="937"/>
      <c r="D9" s="937"/>
      <c r="E9" s="937"/>
      <c r="F9" s="937"/>
      <c r="G9" s="937"/>
      <c r="H9" s="319">
        <f>H12+H13+H14+H15+H16+H17+H18+H19+H20+H21+(30000/0.985)</f>
        <v>727438.71279187826</v>
      </c>
      <c r="J9" s="693">
        <v>60000</v>
      </c>
      <c r="K9" s="399" t="s">
        <v>872</v>
      </c>
      <c r="M9" s="700">
        <v>43656</v>
      </c>
      <c r="N9" s="701" t="s">
        <v>914</v>
      </c>
      <c r="O9" s="702" t="s">
        <v>915</v>
      </c>
      <c r="P9" s="703">
        <v>34560</v>
      </c>
    </row>
    <row r="10" spans="1:16" ht="15.75" thickBot="1" x14ac:dyDescent="0.3">
      <c r="A10" s="938" t="s">
        <v>248</v>
      </c>
      <c r="B10" s="939"/>
      <c r="C10" s="939"/>
      <c r="D10" s="939"/>
      <c r="E10" s="939"/>
      <c r="F10" s="939"/>
      <c r="G10" s="939"/>
      <c r="H10" s="320">
        <f>+H8-H9</f>
        <v>304141.10920812178</v>
      </c>
      <c r="J10" s="693">
        <v>100000</v>
      </c>
      <c r="K10" s="399" t="s">
        <v>1229</v>
      </c>
      <c r="M10" s="700">
        <v>43661</v>
      </c>
      <c r="N10" s="701" t="s">
        <v>914</v>
      </c>
      <c r="O10" s="702" t="s">
        <v>915</v>
      </c>
      <c r="P10" s="703">
        <v>32220</v>
      </c>
    </row>
    <row r="11" spans="1:16" ht="15.75" thickBot="1" x14ac:dyDescent="0.3">
      <c r="A11" s="250"/>
      <c r="B11" s="15"/>
      <c r="C11" s="263"/>
      <c r="D11" s="180"/>
      <c r="E11" s="187"/>
      <c r="F11" s="187"/>
      <c r="G11" s="187"/>
      <c r="H11" s="187"/>
      <c r="M11" s="700">
        <v>43669</v>
      </c>
      <c r="N11" s="701" t="s">
        <v>914</v>
      </c>
      <c r="O11" s="702" t="s">
        <v>915</v>
      </c>
      <c r="P11" s="703">
        <v>29540</v>
      </c>
    </row>
    <row r="12" spans="1:16" ht="15.75" thickBot="1" x14ac:dyDescent="0.3">
      <c r="A12" s="541">
        <v>43634</v>
      </c>
      <c r="B12" s="542" t="s">
        <v>807</v>
      </c>
      <c r="C12" s="543" t="s">
        <v>167</v>
      </c>
      <c r="D12" s="544">
        <v>33820</v>
      </c>
      <c r="E12" s="545">
        <v>1.9</v>
      </c>
      <c r="F12" s="545">
        <f t="shared" ref="F12:F26" si="0">+D12*E12</f>
        <v>64258</v>
      </c>
      <c r="G12" s="545">
        <f t="shared" ref="G12:G26" si="1">+F12*0.19</f>
        <v>12209.02</v>
      </c>
      <c r="H12" s="546">
        <f t="shared" ref="H12:H26" si="2">+F12+G12+0.6</f>
        <v>76467.62000000001</v>
      </c>
      <c r="M12" s="700">
        <v>43672</v>
      </c>
      <c r="N12" s="701" t="s">
        <v>914</v>
      </c>
      <c r="O12" s="702" t="s">
        <v>915</v>
      </c>
      <c r="P12" s="703">
        <v>27880</v>
      </c>
    </row>
    <row r="13" spans="1:16" x14ac:dyDescent="0.25">
      <c r="A13" s="547">
        <v>43637</v>
      </c>
      <c r="B13" s="548" t="s">
        <v>807</v>
      </c>
      <c r="C13" s="549" t="s">
        <v>167</v>
      </c>
      <c r="D13" s="550">
        <v>39620</v>
      </c>
      <c r="E13" s="551">
        <v>1.9</v>
      </c>
      <c r="F13" s="551">
        <f t="shared" si="0"/>
        <v>75278</v>
      </c>
      <c r="G13" s="551">
        <f t="shared" si="1"/>
        <v>14302.82</v>
      </c>
      <c r="H13" s="552">
        <f t="shared" si="2"/>
        <v>89581.420000000013</v>
      </c>
      <c r="M13" s="710"/>
      <c r="N13" s="396"/>
      <c r="O13" s="396"/>
      <c r="P13" s="711"/>
    </row>
    <row r="14" spans="1:16" x14ac:dyDescent="0.25">
      <c r="A14" s="547">
        <v>43641</v>
      </c>
      <c r="B14" s="548" t="s">
        <v>807</v>
      </c>
      <c r="C14" s="549" t="s">
        <v>167</v>
      </c>
      <c r="D14" s="550">
        <v>23260</v>
      </c>
      <c r="E14" s="551">
        <v>1.9</v>
      </c>
      <c r="F14" s="551">
        <f t="shared" si="0"/>
        <v>44194</v>
      </c>
      <c r="G14" s="551">
        <f t="shared" si="1"/>
        <v>8396.86</v>
      </c>
      <c r="H14" s="552">
        <f t="shared" si="2"/>
        <v>52591.46</v>
      </c>
      <c r="M14" s="686"/>
      <c r="P14" s="688"/>
    </row>
    <row r="15" spans="1:16" x14ac:dyDescent="0.25">
      <c r="A15" s="547">
        <v>43644</v>
      </c>
      <c r="B15" s="548" t="s">
        <v>807</v>
      </c>
      <c r="C15" s="549" t="s">
        <v>167</v>
      </c>
      <c r="D15" s="550">
        <v>31680</v>
      </c>
      <c r="E15" s="551">
        <v>1.9</v>
      </c>
      <c r="F15" s="551">
        <f t="shared" si="0"/>
        <v>60192</v>
      </c>
      <c r="G15" s="551">
        <f t="shared" si="1"/>
        <v>11436.48</v>
      </c>
      <c r="H15" s="552">
        <f t="shared" si="2"/>
        <v>71629.08</v>
      </c>
      <c r="M15" s="712">
        <v>43676</v>
      </c>
      <c r="N15" s="709" t="s">
        <v>920</v>
      </c>
      <c r="O15" s="709" t="s">
        <v>45</v>
      </c>
      <c r="P15" s="713">
        <v>32360</v>
      </c>
    </row>
    <row r="16" spans="1:16" s="396" customFormat="1" x14ac:dyDescent="0.25">
      <c r="A16" s="547">
        <v>43649</v>
      </c>
      <c r="B16" s="548" t="s">
        <v>807</v>
      </c>
      <c r="C16" s="549" t="s">
        <v>167</v>
      </c>
      <c r="D16" s="550">
        <v>25140</v>
      </c>
      <c r="E16" s="551">
        <v>1.9</v>
      </c>
      <c r="F16" s="551">
        <f t="shared" si="0"/>
        <v>47766</v>
      </c>
      <c r="G16" s="551">
        <f t="shared" si="1"/>
        <v>9075.5400000000009</v>
      </c>
      <c r="H16" s="552">
        <f t="shared" si="2"/>
        <v>56842.14</v>
      </c>
      <c r="J16" s="396" t="s">
        <v>1878</v>
      </c>
      <c r="M16" s="712">
        <v>43679</v>
      </c>
      <c r="N16" s="709" t="s">
        <v>920</v>
      </c>
      <c r="O16" s="709" t="s">
        <v>45</v>
      </c>
      <c r="P16" s="714">
        <v>31860</v>
      </c>
    </row>
    <row r="17" spans="1:16" s="396" customFormat="1" x14ac:dyDescent="0.25">
      <c r="A17" s="547">
        <v>43652</v>
      </c>
      <c r="B17" s="548" t="s">
        <v>807</v>
      </c>
      <c r="C17" s="549" t="s">
        <v>167</v>
      </c>
      <c r="D17" s="550">
        <v>30540</v>
      </c>
      <c r="E17" s="551">
        <v>1.9</v>
      </c>
      <c r="F17" s="551">
        <f t="shared" si="0"/>
        <v>58026</v>
      </c>
      <c r="G17" s="551">
        <f t="shared" si="1"/>
        <v>11024.94</v>
      </c>
      <c r="H17" s="552">
        <f t="shared" si="2"/>
        <v>69051.540000000008</v>
      </c>
      <c r="J17" s="396" t="s">
        <v>1227</v>
      </c>
      <c r="M17" s="712">
        <v>43683</v>
      </c>
      <c r="N17" s="709" t="s">
        <v>920</v>
      </c>
      <c r="O17" s="709" t="s">
        <v>45</v>
      </c>
      <c r="P17" s="714">
        <v>28240</v>
      </c>
    </row>
    <row r="18" spans="1:16" s="396" customFormat="1" x14ac:dyDescent="0.25">
      <c r="A18" s="547">
        <v>43656</v>
      </c>
      <c r="B18" s="548" t="s">
        <v>807</v>
      </c>
      <c r="C18" s="549" t="s">
        <v>167</v>
      </c>
      <c r="D18" s="550">
        <v>34560</v>
      </c>
      <c r="E18" s="551">
        <v>1.9</v>
      </c>
      <c r="F18" s="551">
        <f t="shared" si="0"/>
        <v>65664</v>
      </c>
      <c r="G18" s="551">
        <f t="shared" si="1"/>
        <v>12476.16</v>
      </c>
      <c r="H18" s="552">
        <f t="shared" si="2"/>
        <v>78140.760000000009</v>
      </c>
      <c r="J18" s="396" t="s">
        <v>1878</v>
      </c>
      <c r="M18" s="712">
        <v>43704</v>
      </c>
      <c r="N18" s="709" t="s">
        <v>920</v>
      </c>
      <c r="O18" s="709" t="s">
        <v>45</v>
      </c>
      <c r="P18" s="714">
        <v>36360</v>
      </c>
    </row>
    <row r="19" spans="1:16" s="396" customFormat="1" x14ac:dyDescent="0.25">
      <c r="A19" s="547">
        <v>43661</v>
      </c>
      <c r="B19" s="548" t="s">
        <v>807</v>
      </c>
      <c r="C19" s="549" t="s">
        <v>167</v>
      </c>
      <c r="D19" s="550">
        <v>32220</v>
      </c>
      <c r="E19" s="551">
        <v>1.9</v>
      </c>
      <c r="F19" s="551">
        <f t="shared" si="0"/>
        <v>61218</v>
      </c>
      <c r="G19" s="551">
        <f t="shared" si="1"/>
        <v>11631.42</v>
      </c>
      <c r="H19" s="552">
        <f t="shared" si="2"/>
        <v>72850.02</v>
      </c>
      <c r="J19" s="396" t="s">
        <v>1878</v>
      </c>
      <c r="M19" s="712">
        <v>43708</v>
      </c>
      <c r="N19" s="709" t="s">
        <v>920</v>
      </c>
      <c r="O19" s="709" t="s">
        <v>45</v>
      </c>
      <c r="P19" s="714">
        <v>30120</v>
      </c>
    </row>
    <row r="20" spans="1:16" s="396" customFormat="1" ht="15.75" thickBot="1" x14ac:dyDescent="0.3">
      <c r="A20" s="547">
        <v>43669</v>
      </c>
      <c r="B20" s="548" t="s">
        <v>807</v>
      </c>
      <c r="C20" s="549" t="s">
        <v>167</v>
      </c>
      <c r="D20" s="550">
        <v>29540</v>
      </c>
      <c r="E20" s="551">
        <v>1.9</v>
      </c>
      <c r="F20" s="551">
        <f t="shared" si="0"/>
        <v>56126</v>
      </c>
      <c r="G20" s="551">
        <f t="shared" si="1"/>
        <v>10663.94</v>
      </c>
      <c r="H20" s="552">
        <f t="shared" si="2"/>
        <v>66790.540000000008</v>
      </c>
      <c r="J20" s="396" t="s">
        <v>1228</v>
      </c>
      <c r="M20" s="715">
        <v>43711</v>
      </c>
      <c r="N20" s="716" t="s">
        <v>920</v>
      </c>
      <c r="O20" s="716" t="s">
        <v>45</v>
      </c>
      <c r="P20" s="717">
        <v>27740</v>
      </c>
    </row>
    <row r="21" spans="1:16" s="396" customFormat="1" x14ac:dyDescent="0.25">
      <c r="A21" s="547">
        <v>43672</v>
      </c>
      <c r="B21" s="548" t="s">
        <v>807</v>
      </c>
      <c r="C21" s="549" t="s">
        <v>167</v>
      </c>
      <c r="D21" s="550">
        <v>27880</v>
      </c>
      <c r="E21" s="551">
        <v>1.9</v>
      </c>
      <c r="F21" s="551">
        <f t="shared" si="0"/>
        <v>52972</v>
      </c>
      <c r="G21" s="551">
        <f t="shared" si="1"/>
        <v>10064.68</v>
      </c>
      <c r="H21" s="552">
        <f t="shared" si="2"/>
        <v>63037.279999999999</v>
      </c>
    </row>
    <row r="22" spans="1:16" s="396" customFormat="1" x14ac:dyDescent="0.25">
      <c r="A22" s="366">
        <v>43802</v>
      </c>
      <c r="B22" s="266" t="s">
        <v>807</v>
      </c>
      <c r="C22" s="270" t="s">
        <v>167</v>
      </c>
      <c r="D22" s="271">
        <v>29020</v>
      </c>
      <c r="E22" s="272">
        <v>2.2000000000000002</v>
      </c>
      <c r="F22" s="272">
        <f t="shared" si="0"/>
        <v>63844.000000000007</v>
      </c>
      <c r="G22" s="272">
        <f t="shared" si="1"/>
        <v>12130.360000000002</v>
      </c>
      <c r="H22" s="367">
        <f t="shared" si="2"/>
        <v>75974.960000000021</v>
      </c>
    </row>
    <row r="23" spans="1:16" s="396" customFormat="1" x14ac:dyDescent="0.25">
      <c r="A23" s="366">
        <v>43806</v>
      </c>
      <c r="B23" s="266" t="s">
        <v>807</v>
      </c>
      <c r="C23" s="270" t="s">
        <v>167</v>
      </c>
      <c r="D23" s="271">
        <v>29340</v>
      </c>
      <c r="E23" s="272">
        <v>2.2000000000000002</v>
      </c>
      <c r="F23" s="272">
        <f t="shared" si="0"/>
        <v>64548.000000000007</v>
      </c>
      <c r="G23" s="272">
        <f t="shared" si="1"/>
        <v>12264.12</v>
      </c>
      <c r="H23" s="367">
        <f t="shared" si="2"/>
        <v>76812.720000000016</v>
      </c>
    </row>
    <row r="24" spans="1:16" s="396" customFormat="1" x14ac:dyDescent="0.25">
      <c r="A24" s="366">
        <v>43809</v>
      </c>
      <c r="B24" s="266" t="s">
        <v>807</v>
      </c>
      <c r="C24" s="270" t="s">
        <v>167</v>
      </c>
      <c r="D24" s="271">
        <v>37560</v>
      </c>
      <c r="E24" s="272">
        <v>2.2000000000000002</v>
      </c>
      <c r="F24" s="272">
        <f t="shared" si="0"/>
        <v>82632</v>
      </c>
      <c r="G24" s="272">
        <f t="shared" si="1"/>
        <v>15700.08</v>
      </c>
      <c r="H24" s="367">
        <f t="shared" si="2"/>
        <v>98332.680000000008</v>
      </c>
    </row>
    <row r="25" spans="1:16" s="396" customFormat="1" x14ac:dyDescent="0.25">
      <c r="A25" s="366">
        <v>43815</v>
      </c>
      <c r="B25" s="266" t="s">
        <v>807</v>
      </c>
      <c r="C25" s="270" t="s">
        <v>167</v>
      </c>
      <c r="D25" s="271">
        <v>8020</v>
      </c>
      <c r="E25" s="272">
        <v>2.2000000000000002</v>
      </c>
      <c r="F25" s="272">
        <f t="shared" si="0"/>
        <v>17644</v>
      </c>
      <c r="G25" s="272">
        <f t="shared" si="1"/>
        <v>3352.36</v>
      </c>
      <c r="H25" s="367">
        <f t="shared" si="2"/>
        <v>20996.959999999999</v>
      </c>
    </row>
    <row r="26" spans="1:16" s="396" customFormat="1" x14ac:dyDescent="0.25">
      <c r="A26" s="366">
        <v>43815</v>
      </c>
      <c r="B26" s="266" t="s">
        <v>807</v>
      </c>
      <c r="C26" s="270" t="s">
        <v>167</v>
      </c>
      <c r="D26" s="271">
        <v>23869</v>
      </c>
      <c r="E26" s="272">
        <v>2.2000000000000002</v>
      </c>
      <c r="F26" s="272">
        <f t="shared" si="0"/>
        <v>52511.8</v>
      </c>
      <c r="G26" s="272">
        <f t="shared" si="1"/>
        <v>9977.2420000000002</v>
      </c>
      <c r="H26" s="367">
        <f t="shared" si="2"/>
        <v>62489.642</v>
      </c>
    </row>
    <row r="27" spans="1:16" s="396" customFormat="1" x14ac:dyDescent="0.25">
      <c r="A27" s="366"/>
      <c r="B27" s="266"/>
      <c r="C27" s="270"/>
      <c r="D27" s="271"/>
      <c r="E27" s="272"/>
      <c r="F27" s="272"/>
      <c r="G27" s="272"/>
      <c r="H27" s="367"/>
    </row>
    <row r="28" spans="1:16" s="396" customFormat="1" x14ac:dyDescent="0.25">
      <c r="A28" s="366"/>
      <c r="B28" s="266"/>
      <c r="C28" s="270"/>
      <c r="D28" s="271"/>
      <c r="E28" s="272"/>
      <c r="F28" s="272"/>
      <c r="G28" s="272"/>
      <c r="H28" s="367"/>
    </row>
    <row r="29" spans="1:16" s="396" customFormat="1" x14ac:dyDescent="0.25">
      <c r="A29" s="366"/>
      <c r="B29" s="266"/>
      <c r="C29" s="270"/>
      <c r="D29" s="271"/>
      <c r="E29" s="272"/>
      <c r="F29" s="272"/>
      <c r="G29" s="272"/>
      <c r="H29" s="367"/>
    </row>
    <row r="30" spans="1:16" s="396" customFormat="1" x14ac:dyDescent="0.25">
      <c r="A30" s="366"/>
      <c r="B30" s="266"/>
      <c r="C30" s="270"/>
      <c r="D30" s="271"/>
      <c r="E30" s="272"/>
      <c r="F30" s="272"/>
      <c r="G30" s="272"/>
      <c r="H30" s="367"/>
    </row>
    <row r="31" spans="1:16" ht="15.75" thickBot="1" x14ac:dyDescent="0.3">
      <c r="A31" s="368"/>
      <c r="B31" s="369"/>
      <c r="C31" s="370"/>
      <c r="D31" s="371"/>
      <c r="E31" s="372"/>
      <c r="F31" s="372"/>
      <c r="G31" s="372"/>
      <c r="H31" s="373"/>
    </row>
    <row r="32" spans="1:16" ht="15.75" thickBot="1" x14ac:dyDescent="0.3">
      <c r="A32" s="15"/>
      <c r="B32" s="15"/>
      <c r="C32" s="15"/>
      <c r="D32" s="15"/>
      <c r="E32" s="15"/>
      <c r="F32" s="15"/>
      <c r="G32" s="15"/>
      <c r="H32" s="435">
        <f>SUM(H12:H31)</f>
        <v>1031588.822</v>
      </c>
    </row>
  </sheetData>
  <mergeCells count="15">
    <mergeCell ref="A8:E8"/>
    <mergeCell ref="A9:G9"/>
    <mergeCell ref="A10:G10"/>
    <mergeCell ref="A5:B5"/>
    <mergeCell ref="D5:E5"/>
    <mergeCell ref="A6:B6"/>
    <mergeCell ref="D6:E6"/>
    <mergeCell ref="A7:B7"/>
    <mergeCell ref="D7:E7"/>
    <mergeCell ref="A1:H1"/>
    <mergeCell ref="M2:P2"/>
    <mergeCell ref="A3:B3"/>
    <mergeCell ref="D3:E3"/>
    <mergeCell ref="A4:B4"/>
    <mergeCell ref="D4:E4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20</vt:i4>
      </vt:variant>
    </vt:vector>
  </HeadingPairs>
  <TitlesOfParts>
    <vt:vector size="53" baseType="lpstr">
      <vt:lpstr>HAZEM</vt:lpstr>
      <vt:lpstr>SOTRAM</vt:lpstr>
      <vt:lpstr>KAMMOUN</vt:lpstr>
      <vt:lpstr>KAIS</vt:lpstr>
      <vt:lpstr>STA NOUR</vt:lpstr>
      <vt:lpstr>KAIS STA</vt:lpstr>
      <vt:lpstr>12-2019</vt:lpstr>
      <vt:lpstr>etranger</vt:lpstr>
      <vt:lpstr>CMT</vt:lpstr>
      <vt:lpstr>EXPORT</vt:lpstr>
      <vt:lpstr>PLOMB LOCAL</vt:lpstr>
      <vt:lpstr>CT</vt:lpstr>
      <vt:lpstr>TR </vt:lpstr>
      <vt:lpstr>STA</vt:lpstr>
      <vt:lpstr>FH</vt:lpstr>
      <vt:lpstr>HEMP</vt:lpstr>
      <vt:lpstr>I Z</vt:lpstr>
      <vt:lpstr>Feuil3</vt:lpstr>
      <vt:lpstr>Feuil2</vt:lpstr>
      <vt:lpstr>Feuil4</vt:lpstr>
      <vt:lpstr>Feuil1</vt:lpstr>
      <vt:lpstr>DETTE</vt:lpstr>
      <vt:lpstr>solde</vt:lpstr>
      <vt:lpstr>Feuil5</vt:lpstr>
      <vt:lpstr>Feuil6</vt:lpstr>
      <vt:lpstr>Feuil7</vt:lpstr>
      <vt:lpstr>Feuil8</vt:lpstr>
      <vt:lpstr>HAZEM (2)</vt:lpstr>
      <vt:lpstr>SOTRAM (2)</vt:lpstr>
      <vt:lpstr>KAMMOUN (2)</vt:lpstr>
      <vt:lpstr>KAIS (2)</vt:lpstr>
      <vt:lpstr>STA NOUR (2)</vt:lpstr>
      <vt:lpstr>KAIS STA (2)</vt:lpstr>
      <vt:lpstr>'12-2019'!Zone_d_impression</vt:lpstr>
      <vt:lpstr>CMT!Zone_d_impression</vt:lpstr>
      <vt:lpstr>etranger!Zone_d_impression</vt:lpstr>
      <vt:lpstr>EXPORT!Zone_d_impression</vt:lpstr>
      <vt:lpstr>Feuil1!Zone_d_impression</vt:lpstr>
      <vt:lpstr>Feuil3!Zone_d_impression</vt:lpstr>
      <vt:lpstr>Feuil4!Zone_d_impression</vt:lpstr>
      <vt:lpstr>Feuil6!Zone_d_impression</vt:lpstr>
      <vt:lpstr>HAZEM!Zone_d_impression</vt:lpstr>
      <vt:lpstr>'HAZEM (2)'!Zone_d_impression</vt:lpstr>
      <vt:lpstr>HEMP!Zone_d_impression</vt:lpstr>
      <vt:lpstr>KAIS!Zone_d_impression</vt:lpstr>
      <vt:lpstr>'KAIS (2)'!Zone_d_impression</vt:lpstr>
      <vt:lpstr>'KAIS STA'!Zone_d_impression</vt:lpstr>
      <vt:lpstr>'KAIS STA (2)'!Zone_d_impression</vt:lpstr>
      <vt:lpstr>'PLOMB LOCAL'!Zone_d_impression</vt:lpstr>
      <vt:lpstr>SOTRAM!Zone_d_impression</vt:lpstr>
      <vt:lpstr>'SOTRAM (2)'!Zone_d_impression</vt:lpstr>
      <vt:lpstr>'STA NOUR'!Zone_d_impression</vt:lpstr>
      <vt:lpstr>'STA NOUR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Mohamed Limaeim</cp:lastModifiedBy>
  <cp:lastPrinted>2019-12-31T09:00:44Z</cp:lastPrinted>
  <dcterms:created xsi:type="dcterms:W3CDTF">2016-03-21T13:00:29Z</dcterms:created>
  <dcterms:modified xsi:type="dcterms:W3CDTF">2025-01-11T15:33:34Z</dcterms:modified>
</cp:coreProperties>
</file>