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hamed_limaiem\Desktop\COPIE LIMAIEM\"/>
    </mc:Choice>
  </mc:AlternateContent>
  <xr:revisionPtr revIDLastSave="0" documentId="13_ncr:1_{B8B136DB-A8D4-4F59-8145-3EC30CF119CF}" xr6:coauthVersionLast="47" xr6:coauthVersionMax="47" xr10:uidLastSave="{00000000-0000-0000-0000-000000000000}"/>
  <bookViews>
    <workbookView xWindow="-120" yWindow="-120" windowWidth="20730" windowHeight="11040" tabRatio="917" activeTab="6" xr2:uid="{00000000-000D-0000-FFFF-FFFF00000000}"/>
  </bookViews>
  <sheets>
    <sheet name="06-2021" sheetId="102" r:id="rId1"/>
    <sheet name="etranger" sheetId="3" r:id="rId2"/>
    <sheet name="CMT" sheetId="5" r:id="rId3"/>
    <sheet name="EXPORT" sheetId="1" r:id="rId4"/>
    <sheet name="CT" sheetId="75" r:id="rId5"/>
    <sheet name="TR " sheetId="76" r:id="rId6"/>
    <sheet name="STA" sheetId="36" r:id="rId7"/>
    <sheet name="SND" sheetId="37" r:id="rId8"/>
    <sheet name="TIP" sheetId="38" r:id="rId9"/>
    <sheet name="NBI" sheetId="40" r:id="rId10"/>
    <sheet name="FH" sheetId="39" r:id="rId11"/>
    <sheet name="I Z" sheetId="72" r:id="rId12"/>
    <sheet name="HAZEM" sheetId="57" state="hidden" r:id="rId13"/>
    <sheet name="Feuil1" sheetId="82" state="hidden" r:id="rId14"/>
    <sheet name="Feuil2" sheetId="88" state="hidden" r:id="rId15"/>
    <sheet name="Feuil3" sheetId="89" state="hidden" r:id="rId16"/>
    <sheet name="Feuil4" sheetId="95" state="hidden" r:id="rId17"/>
    <sheet name="Feuil5" sheetId="97" state="hidden" r:id="rId18"/>
    <sheet name="SIA" sheetId="98" state="hidden" r:id="rId19"/>
    <sheet name="AUTRE FACTURE" sheetId="101" state="hidden" r:id="rId20"/>
    <sheet name="SOTRAPRO" sheetId="99" state="hidden" r:id="rId21"/>
    <sheet name="Feuil6" sheetId="100" state="hidden" r:id="rId22"/>
    <sheet name="Feuil7" sheetId="103" state="hidden" r:id="rId23"/>
    <sheet name="Feuil8" sheetId="104" state="hidden" r:id="rId24"/>
    <sheet name="Feuil9" sheetId="105" state="hidden" r:id="rId25"/>
  </sheets>
  <definedNames>
    <definedName name="_xlnm._FilterDatabase" localSheetId="4" hidden="1">CT!$A$1:$D$7156</definedName>
    <definedName name="_xlnm._FilterDatabase" localSheetId="3" hidden="1">EXPORT!$A$1:$A$89</definedName>
    <definedName name="_xlnm._FilterDatabase" localSheetId="9" hidden="1">NBI!$A$1:$L$1</definedName>
    <definedName name="_xlnm._FilterDatabase" localSheetId="7" hidden="1">SND!$A$1:$M$7</definedName>
    <definedName name="_xlnm._FilterDatabase" localSheetId="6" hidden="1">STA!$A$1:$L$12</definedName>
    <definedName name="_xlnm._FilterDatabase" localSheetId="8" hidden="1">TIP!$A$1:$L$5</definedName>
    <definedName name="_xlnm.Print_Area" localSheetId="19">'AUTRE FACTURE'!$A$1:$L$11</definedName>
    <definedName name="_xlnm.Print_Area" localSheetId="2">CMT!$B$9:$G$31</definedName>
    <definedName name="_xlnm.Print_Area" localSheetId="4">CT!$A$1:$D$1</definedName>
    <definedName name="_xlnm.Print_Area" localSheetId="1">etranger!$A$86:$F$95</definedName>
    <definedName name="_xlnm.Print_Area" localSheetId="3">EXPORT!$A$7:$M$36</definedName>
    <definedName name="_xlnm.Print_Area" localSheetId="13">Feuil1!$A$5:$D$10</definedName>
    <definedName name="_xlnm.Print_Area" localSheetId="14">Feuil2!$A$1:$H$6</definedName>
    <definedName name="_xlnm.Print_Area" localSheetId="16">Feuil4!$A$1:$B$21</definedName>
    <definedName name="_xlnm.Print_Area" localSheetId="21">Feuil6!$A$1:$S$25</definedName>
    <definedName name="_xlnm.Print_Area" localSheetId="12">HAZEM!$A$1:$H$16</definedName>
    <definedName name="_xlnm.Print_Area" localSheetId="20">SOTRAPRO!$A$1:$E$33</definedName>
    <definedName name="_xlnm.Print_Area" localSheetId="8">TIP!#REF!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1" i="1" l="1"/>
  <c r="F21" i="102" s="1"/>
  <c r="H50" i="102"/>
  <c r="E50" i="102"/>
  <c r="I8" i="76"/>
  <c r="I9" i="76" s="1"/>
  <c r="B50" i="102"/>
  <c r="F42" i="102"/>
  <c r="D82" i="76"/>
  <c r="D111" i="76"/>
  <c r="L3" i="75"/>
  <c r="L4" i="75" s="1"/>
  <c r="D459" i="75"/>
  <c r="D856" i="75"/>
  <c r="D1078" i="75"/>
  <c r="D1163" i="75"/>
  <c r="D1182" i="75"/>
  <c r="D1184" i="75"/>
  <c r="K42" i="37"/>
  <c r="K33" i="37"/>
  <c r="K41" i="37"/>
  <c r="K4" i="37"/>
  <c r="K5" i="37"/>
  <c r="K36" i="37"/>
  <c r="K35" i="37"/>
  <c r="K37" i="37"/>
  <c r="K31" i="37"/>
  <c r="K32" i="37"/>
  <c r="K34" i="37"/>
  <c r="K40" i="37"/>
  <c r="F39" i="37"/>
  <c r="F42" i="37"/>
  <c r="F33" i="37"/>
  <c r="F41" i="37"/>
  <c r="F4" i="37"/>
  <c r="F5" i="37"/>
  <c r="F36" i="37"/>
  <c r="F35" i="37"/>
  <c r="F37" i="37"/>
  <c r="F31" i="37"/>
  <c r="F32" i="37"/>
  <c r="F34" i="37"/>
  <c r="F40" i="37"/>
  <c r="F43" i="37"/>
  <c r="F44" i="37"/>
  <c r="F45" i="37"/>
  <c r="F46" i="37"/>
  <c r="F47" i="37"/>
  <c r="F48" i="37"/>
  <c r="F49" i="37"/>
  <c r="F50" i="37"/>
  <c r="F51" i="37"/>
  <c r="F52" i="37"/>
  <c r="F53" i="37"/>
  <c r="F54" i="37"/>
  <c r="F55" i="37"/>
  <c r="F56" i="37"/>
  <c r="F57" i="37"/>
  <c r="F58" i="37"/>
  <c r="F59" i="37"/>
  <c r="F60" i="37"/>
  <c r="F61" i="37"/>
  <c r="F62" i="37"/>
  <c r="F63" i="37"/>
  <c r="F20" i="36" l="1"/>
  <c r="F21" i="36"/>
  <c r="F22" i="36"/>
  <c r="F23" i="36"/>
  <c r="F24" i="36"/>
  <c r="F25" i="36"/>
  <c r="F26" i="36"/>
  <c r="F27" i="36"/>
  <c r="F28" i="36"/>
  <c r="F29" i="36"/>
  <c r="F30" i="36"/>
  <c r="F31" i="36"/>
  <c r="F32" i="36"/>
  <c r="F33" i="36"/>
  <c r="F34" i="36"/>
  <c r="F35" i="36"/>
  <c r="F36" i="36"/>
  <c r="F37" i="36"/>
  <c r="F38" i="36"/>
  <c r="F39" i="36"/>
  <c r="F40" i="36"/>
  <c r="F41" i="36"/>
  <c r="F42" i="36"/>
  <c r="F43" i="36"/>
  <c r="F44" i="36"/>
  <c r="F45" i="36"/>
  <c r="F46" i="36"/>
  <c r="F47" i="36"/>
  <c r="F48" i="36"/>
  <c r="F49" i="36"/>
  <c r="E62" i="102"/>
  <c r="F48" i="102"/>
  <c r="F43" i="102"/>
  <c r="E58" i="102"/>
  <c r="D1186" i="75" l="1"/>
  <c r="K28" i="37" l="1"/>
  <c r="K29" i="37"/>
  <c r="K27" i="37"/>
  <c r="K3" i="37"/>
  <c r="K39" i="37"/>
  <c r="K30" i="37"/>
  <c r="F28" i="37"/>
  <c r="F29" i="37"/>
  <c r="F27" i="37"/>
  <c r="F3" i="37"/>
  <c r="F30" i="37"/>
  <c r="J3" i="72"/>
  <c r="H3" i="72"/>
  <c r="F3" i="72"/>
  <c r="J2" i="40"/>
  <c r="H2" i="40"/>
  <c r="F2" i="40"/>
  <c r="H6" i="38"/>
  <c r="F6" i="38"/>
  <c r="J6" i="38"/>
  <c r="H49" i="36"/>
  <c r="H48" i="36"/>
  <c r="H47" i="36"/>
  <c r="H46" i="36"/>
  <c r="H45" i="36"/>
  <c r="H44" i="36"/>
  <c r="H43" i="36"/>
  <c r="H42" i="36"/>
  <c r="H41" i="36"/>
  <c r="H40" i="36"/>
  <c r="H39" i="36"/>
  <c r="H38" i="36"/>
  <c r="H37" i="36"/>
  <c r="H36" i="36"/>
  <c r="H35" i="36"/>
  <c r="H34" i="36"/>
  <c r="H33" i="36"/>
  <c r="H32" i="36"/>
  <c r="H31" i="36"/>
  <c r="H30" i="36"/>
  <c r="H29" i="36"/>
  <c r="H28" i="36"/>
  <c r="H27" i="36"/>
  <c r="H26" i="36"/>
  <c r="H25" i="36"/>
  <c r="H24" i="36"/>
  <c r="H23" i="36"/>
  <c r="H22" i="36"/>
  <c r="K48" i="1"/>
  <c r="K16" i="1"/>
  <c r="F52" i="1"/>
  <c r="M52" i="1"/>
  <c r="G52" i="1"/>
  <c r="F57" i="1"/>
  <c r="M57" i="1"/>
  <c r="G57" i="1"/>
  <c r="F56" i="1"/>
  <c r="M56" i="1"/>
  <c r="G56" i="1"/>
  <c r="K23" i="37" l="1"/>
  <c r="K26" i="37"/>
  <c r="K24" i="37"/>
  <c r="K25" i="37"/>
  <c r="F25" i="37"/>
  <c r="F23" i="37"/>
  <c r="F26" i="37"/>
  <c r="F24" i="37"/>
  <c r="J6" i="36"/>
  <c r="F6" i="36"/>
  <c r="K31" i="1"/>
  <c r="D54" i="3"/>
  <c r="D50" i="3"/>
  <c r="D37" i="3"/>
  <c r="D46" i="3"/>
  <c r="F45" i="3"/>
  <c r="D45" i="3"/>
  <c r="F30" i="3"/>
  <c r="F29" i="3"/>
  <c r="F28" i="3"/>
  <c r="F27" i="3"/>
  <c r="F26" i="3"/>
  <c r="D30" i="3"/>
  <c r="D29" i="3"/>
  <c r="D28" i="3"/>
  <c r="D27" i="3"/>
  <c r="D26" i="3"/>
  <c r="M28" i="102"/>
  <c r="M29" i="102"/>
  <c r="Q81" i="102"/>
  <c r="Q49" i="102"/>
  <c r="Q34" i="102"/>
  <c r="Q14" i="102"/>
  <c r="Q9" i="102" s="1"/>
  <c r="Q4" i="102"/>
  <c r="E15" i="102"/>
  <c r="F21" i="37"/>
  <c r="H63" i="37"/>
  <c r="H62" i="37"/>
  <c r="H61" i="37"/>
  <c r="H60" i="37"/>
  <c r="H59" i="37"/>
  <c r="H58" i="37"/>
  <c r="H57" i="37"/>
  <c r="H56" i="37"/>
  <c r="H55" i="37"/>
  <c r="H54" i="37"/>
  <c r="H53" i="37"/>
  <c r="H52" i="37"/>
  <c r="H51" i="37"/>
  <c r="H50" i="37"/>
  <c r="H49" i="37"/>
  <c r="H48" i="37"/>
  <c r="H47" i="37"/>
  <c r="H46" i="37"/>
  <c r="H45" i="37"/>
  <c r="H44" i="37"/>
  <c r="H43" i="37"/>
  <c r="H40" i="37"/>
  <c r="H34" i="37"/>
  <c r="H32" i="37"/>
  <c r="H31" i="37"/>
  <c r="H37" i="37"/>
  <c r="H35" i="37"/>
  <c r="H36" i="37"/>
  <c r="H5" i="37"/>
  <c r="H4" i="37"/>
  <c r="H41" i="37"/>
  <c r="H33" i="37"/>
  <c r="H42" i="37"/>
  <c r="H30" i="37"/>
  <c r="H39" i="37"/>
  <c r="H3" i="37"/>
  <c r="H27" i="37"/>
  <c r="H29" i="37"/>
  <c r="H28" i="37"/>
  <c r="H24" i="37"/>
  <c r="H26" i="37"/>
  <c r="H23" i="37"/>
  <c r="K22" i="37"/>
  <c r="K21" i="37"/>
  <c r="F22" i="37"/>
  <c r="H77" i="102"/>
  <c r="Q33" i="102" l="1"/>
  <c r="Q86" i="102" s="1"/>
  <c r="E75" i="102"/>
  <c r="K25" i="1"/>
  <c r="F25" i="3"/>
  <c r="F24" i="3"/>
  <c r="F23" i="3"/>
  <c r="D25" i="3"/>
  <c r="D24" i="3"/>
  <c r="D23" i="3"/>
  <c r="F55" i="1"/>
  <c r="M55" i="1"/>
  <c r="G55" i="1"/>
  <c r="F54" i="1"/>
  <c r="M54" i="1"/>
  <c r="G54" i="1"/>
  <c r="E64" i="102" l="1"/>
  <c r="P77" i="102"/>
  <c r="H4" i="72" l="1"/>
  <c r="K11" i="1"/>
  <c r="F53" i="1"/>
  <c r="M53" i="1"/>
  <c r="G53" i="1"/>
  <c r="F51" i="1"/>
  <c r="G51" i="1"/>
  <c r="D81" i="102" l="1"/>
  <c r="D49" i="102"/>
  <c r="D14" i="102"/>
  <c r="D9" i="102"/>
  <c r="D4" i="102"/>
  <c r="K19" i="37"/>
  <c r="K20" i="37"/>
  <c r="F19" i="37"/>
  <c r="F20" i="37"/>
  <c r="J19" i="36"/>
  <c r="F19" i="36"/>
  <c r="K46" i="1"/>
  <c r="F6" i="37"/>
  <c r="F7" i="37"/>
  <c r="F8" i="37"/>
  <c r="F9" i="37"/>
  <c r="F10" i="37"/>
  <c r="F11" i="37"/>
  <c r="F12" i="37"/>
  <c r="F13" i="37"/>
  <c r="F14" i="37"/>
  <c r="F15" i="37"/>
  <c r="F16" i="37"/>
  <c r="F17" i="37"/>
  <c r="F18" i="37"/>
  <c r="F38" i="37"/>
  <c r="B77" i="102" s="1"/>
  <c r="B76" i="102" l="1"/>
  <c r="D33" i="102"/>
  <c r="D86" i="102" s="1"/>
  <c r="D9" i="103"/>
  <c r="F9" i="103" s="1"/>
  <c r="D11" i="103"/>
  <c r="F11" i="103" s="1"/>
  <c r="D12" i="103"/>
  <c r="F12" i="103" s="1"/>
  <c r="D14" i="103"/>
  <c r="F14" i="103" s="1"/>
  <c r="D3" i="103"/>
  <c r="F3" i="103" s="1"/>
  <c r="D5" i="103"/>
  <c r="F5" i="103" s="1"/>
  <c r="D6" i="103"/>
  <c r="F6" i="103" s="1"/>
  <c r="B7" i="103"/>
  <c r="D7" i="103" s="1"/>
  <c r="F7" i="103" s="1"/>
  <c r="D2" i="103"/>
  <c r="F2" i="103" s="1"/>
  <c r="F66" i="3" l="1"/>
  <c r="D66" i="3"/>
  <c r="F22" i="3"/>
  <c r="D22" i="3"/>
  <c r="K24" i="1" l="1"/>
  <c r="B10" i="102"/>
  <c r="K28" i="1"/>
  <c r="K17" i="37" l="1"/>
  <c r="K18" i="37"/>
  <c r="K38" i="37"/>
  <c r="H25" i="37"/>
  <c r="H21" i="37"/>
  <c r="H22" i="37"/>
  <c r="H20" i="37"/>
  <c r="H19" i="37"/>
  <c r="J18" i="36"/>
  <c r="F18" i="36"/>
  <c r="H6" i="36"/>
  <c r="H20" i="36"/>
  <c r="H19" i="36"/>
  <c r="F50" i="1" l="1"/>
  <c r="M50" i="1"/>
  <c r="G50" i="1"/>
  <c r="F49" i="1"/>
  <c r="M49" i="1"/>
  <c r="G49" i="1"/>
  <c r="K23" i="1"/>
  <c r="N51" i="102" l="1"/>
  <c r="K51" i="102"/>
  <c r="H51" i="102"/>
  <c r="E51" i="102"/>
  <c r="B51" i="102"/>
  <c r="J5" i="36"/>
  <c r="F5" i="36"/>
  <c r="J4" i="36"/>
  <c r="F4" i="36"/>
  <c r="K41" i="1"/>
  <c r="K16" i="37"/>
  <c r="F48" i="1"/>
  <c r="M48" i="1"/>
  <c r="B75" i="1" s="1"/>
  <c r="F47" i="1"/>
  <c r="M47" i="1"/>
  <c r="G48" i="1"/>
  <c r="G47" i="1"/>
  <c r="F7" i="38" l="1"/>
  <c r="F8" i="38"/>
  <c r="F9" i="38"/>
  <c r="F10" i="38"/>
  <c r="F11" i="38"/>
  <c r="H18" i="37"/>
  <c r="H17" i="37"/>
  <c r="H38" i="37"/>
  <c r="D71" i="3" l="1"/>
  <c r="D70" i="3"/>
  <c r="D78" i="3"/>
  <c r="D34" i="3"/>
  <c r="C48" i="3"/>
  <c r="F21" i="3"/>
  <c r="D21" i="3"/>
  <c r="H20" i="40" l="1"/>
  <c r="F20" i="40"/>
  <c r="H19" i="40"/>
  <c r="F19" i="40"/>
  <c r="H18" i="40"/>
  <c r="F18" i="40"/>
  <c r="H17" i="40"/>
  <c r="F17" i="40"/>
  <c r="H16" i="40"/>
  <c r="F16" i="40"/>
  <c r="H15" i="40"/>
  <c r="F15" i="40"/>
  <c r="H14" i="40"/>
  <c r="F14" i="40"/>
  <c r="H13" i="40"/>
  <c r="F13" i="40"/>
  <c r="H12" i="40"/>
  <c r="F12" i="40"/>
  <c r="H11" i="40"/>
  <c r="F11" i="40"/>
  <c r="H10" i="40"/>
  <c r="F10" i="40"/>
  <c r="H9" i="40"/>
  <c r="F9" i="40"/>
  <c r="H8" i="40"/>
  <c r="F8" i="40"/>
  <c r="H7" i="40"/>
  <c r="F7" i="40"/>
  <c r="H6" i="40"/>
  <c r="F6" i="40"/>
  <c r="H5" i="40"/>
  <c r="F5" i="40"/>
  <c r="H4" i="40"/>
  <c r="F4" i="40"/>
  <c r="H3" i="40"/>
  <c r="F3" i="40"/>
  <c r="K15" i="37"/>
  <c r="K14" i="37"/>
  <c r="L25" i="101" l="1"/>
  <c r="H43" i="101"/>
  <c r="J17" i="36"/>
  <c r="E5" i="102"/>
  <c r="F17" i="36"/>
  <c r="H18" i="36"/>
  <c r="H5" i="36"/>
  <c r="H4" i="36"/>
  <c r="H17" i="36"/>
  <c r="F46" i="1"/>
  <c r="M46" i="1"/>
  <c r="G46" i="1"/>
  <c r="L10" i="102" l="1"/>
  <c r="D25" i="100"/>
  <c r="C25" i="100"/>
  <c r="S24" i="100"/>
  <c r="E24" i="100"/>
  <c r="S23" i="100"/>
  <c r="E23" i="100"/>
  <c r="S22" i="100"/>
  <c r="E22" i="100"/>
  <c r="S21" i="100"/>
  <c r="E21" i="100"/>
  <c r="S20" i="100"/>
  <c r="E20" i="100"/>
  <c r="E25" i="100" s="1"/>
  <c r="D19" i="100" l="1"/>
  <c r="C19" i="100"/>
  <c r="S18" i="100"/>
  <c r="E18" i="100"/>
  <c r="S17" i="100"/>
  <c r="E17" i="100"/>
  <c r="E19" i="100" s="1"/>
  <c r="E16" i="100"/>
  <c r="D16" i="100"/>
  <c r="C16" i="100"/>
  <c r="S15" i="100"/>
  <c r="E15" i="100"/>
  <c r="S14" i="100"/>
  <c r="E14" i="100"/>
  <c r="S13" i="100"/>
  <c r="E13" i="100"/>
  <c r="S12" i="100"/>
  <c r="E12" i="100"/>
  <c r="S11" i="100"/>
  <c r="E11" i="100"/>
  <c r="D10" i="100"/>
  <c r="C10" i="100"/>
  <c r="S9" i="100"/>
  <c r="E9" i="100"/>
  <c r="S8" i="100"/>
  <c r="E8" i="100"/>
  <c r="D7" i="100"/>
  <c r="C7" i="100"/>
  <c r="S6" i="100"/>
  <c r="E6" i="100"/>
  <c r="S5" i="100"/>
  <c r="E5" i="100"/>
  <c r="S4" i="100"/>
  <c r="E4" i="100"/>
  <c r="S3" i="100"/>
  <c r="E3" i="100"/>
  <c r="S2" i="100"/>
  <c r="E2" i="100"/>
  <c r="B29" i="99"/>
  <c r="B18" i="99"/>
  <c r="F41" i="101"/>
  <c r="H41" i="101" s="1"/>
  <c r="F40" i="101"/>
  <c r="I40" i="101" s="1"/>
  <c r="F39" i="101"/>
  <c r="F37" i="101"/>
  <c r="H37" i="101" s="1"/>
  <c r="I41" i="101" l="1"/>
  <c r="E10" i="100"/>
  <c r="H39" i="101"/>
  <c r="H42" i="101" s="1"/>
  <c r="I39" i="101"/>
  <c r="I42" i="101" s="1"/>
  <c r="B31" i="99"/>
  <c r="J41" i="101"/>
  <c r="E7" i="100"/>
  <c r="H40" i="101"/>
  <c r="J40" i="101" s="1"/>
  <c r="F36" i="101"/>
  <c r="H36" i="101" s="1"/>
  <c r="J39" i="101" l="1"/>
  <c r="J42" i="101" s="1"/>
  <c r="I36" i="101"/>
  <c r="J36" i="101" s="1"/>
  <c r="F35" i="101"/>
  <c r="I35" i="101" s="1"/>
  <c r="H35" i="101" l="1"/>
  <c r="J35" i="101"/>
  <c r="I28" i="101" l="1"/>
  <c r="H28" i="101"/>
  <c r="J28" i="101" s="1"/>
  <c r="I26" i="101" l="1"/>
  <c r="I32" i="101" s="1"/>
  <c r="H26" i="101"/>
  <c r="H32" i="101" s="1"/>
  <c r="L22" i="101"/>
  <c r="L21" i="101"/>
  <c r="I20" i="101"/>
  <c r="H20" i="101"/>
  <c r="J20" i="101" s="1"/>
  <c r="J26" i="101" l="1"/>
  <c r="J32" i="101" s="1"/>
  <c r="L19" i="101"/>
  <c r="I19" i="101"/>
  <c r="H19" i="101"/>
  <c r="J19" i="101" s="1"/>
  <c r="L18" i="101"/>
  <c r="I18" i="101"/>
  <c r="J18" i="101" s="1"/>
  <c r="H18" i="101"/>
  <c r="I17" i="101"/>
  <c r="H17" i="101"/>
  <c r="J17" i="101" s="1"/>
  <c r="L16" i="101" l="1"/>
  <c r="I16" i="101"/>
  <c r="H16" i="101"/>
  <c r="J16" i="101" s="1"/>
  <c r="L15" i="101" l="1"/>
  <c r="I15" i="101" l="1"/>
  <c r="H15" i="101"/>
  <c r="J15" i="101" s="1"/>
  <c r="I14" i="101"/>
  <c r="I21" i="101" s="1"/>
  <c r="H14" i="101"/>
  <c r="D9" i="101"/>
  <c r="F8" i="101"/>
  <c r="H8" i="101" s="1"/>
  <c r="F7" i="101"/>
  <c r="H7" i="101" s="1"/>
  <c r="F6" i="101"/>
  <c r="H6" i="101" s="1"/>
  <c r="F5" i="101"/>
  <c r="H5" i="101" s="1"/>
  <c r="F4" i="101"/>
  <c r="H4" i="101" s="1"/>
  <c r="H21" i="101" l="1"/>
  <c r="J14" i="101"/>
  <c r="J21" i="101" s="1"/>
  <c r="F3" i="101"/>
  <c r="H3" i="101" s="1"/>
  <c r="I3" i="101" l="1"/>
  <c r="J3" i="101" s="1"/>
  <c r="L2" i="101"/>
  <c r="L10" i="101" s="1"/>
  <c r="F2" i="101"/>
  <c r="F9" i="101" s="1"/>
  <c r="H2" i="101" l="1"/>
  <c r="H9" i="101" s="1"/>
  <c r="F10" i="98"/>
  <c r="C10" i="98"/>
  <c r="E41" i="97" l="1"/>
  <c r="D41" i="97"/>
  <c r="E39" i="97" l="1"/>
  <c r="D39" i="97"/>
  <c r="B19" i="97" l="1"/>
  <c r="E44" i="97" s="1"/>
  <c r="K8" i="97" l="1"/>
  <c r="J8" i="97"/>
  <c r="E8" i="97"/>
  <c r="D8" i="97"/>
  <c r="E7" i="97"/>
  <c r="D7" i="97"/>
  <c r="K6" i="97"/>
  <c r="J6" i="97"/>
  <c r="E6" i="97"/>
  <c r="D6" i="97"/>
  <c r="O5" i="97"/>
  <c r="O6" i="97" s="1"/>
  <c r="G10" i="89"/>
  <c r="H10" i="89" s="1"/>
  <c r="I10" i="89" s="1"/>
  <c r="G9" i="89"/>
  <c r="G8" i="89"/>
  <c r="G6" i="89"/>
  <c r="G5" i="89"/>
  <c r="B27" i="97" l="1"/>
  <c r="B29" i="97" s="1"/>
  <c r="D40" i="97" s="1"/>
  <c r="E40" i="97" s="1"/>
  <c r="N5" i="97"/>
  <c r="N6" i="97" s="1"/>
  <c r="Q6" i="97" s="1"/>
  <c r="G4" i="89"/>
  <c r="G3" i="89"/>
  <c r="G2" i="89"/>
  <c r="H2" i="89" s="1"/>
  <c r="H4" i="89" l="1"/>
  <c r="I4" i="89" s="1"/>
  <c r="E43" i="97"/>
  <c r="E45" i="97" s="1"/>
  <c r="H43" i="97"/>
  <c r="I2" i="89"/>
  <c r="H3" i="89"/>
  <c r="I3" i="89" s="1"/>
  <c r="G4" i="88"/>
  <c r="F4" i="88"/>
  <c r="F3" i="88" l="1"/>
  <c r="F2" i="88"/>
  <c r="G2" i="88" s="1"/>
  <c r="F5" i="88" l="1"/>
  <c r="H2" i="88"/>
  <c r="F10" i="82"/>
  <c r="H4" i="88" l="1"/>
  <c r="F6" i="88"/>
  <c r="F8" i="82"/>
  <c r="F7" i="82"/>
  <c r="F6" i="82"/>
  <c r="G5" i="82"/>
  <c r="F5" i="82"/>
  <c r="G8" i="82" l="1"/>
  <c r="H8" i="82"/>
  <c r="H5" i="82"/>
  <c r="G6" i="82"/>
  <c r="H6" i="82" s="1"/>
  <c r="H7" i="57" l="1"/>
  <c r="G7" i="57"/>
  <c r="F7" i="57" l="1"/>
  <c r="D7" i="57"/>
  <c r="H6" i="57" l="1"/>
  <c r="G6" i="57"/>
  <c r="F6" i="57"/>
  <c r="D6" i="57"/>
  <c r="H5" i="57"/>
  <c r="G5" i="57"/>
  <c r="F5" i="57" l="1"/>
  <c r="D5" i="57"/>
  <c r="H4" i="57" l="1"/>
  <c r="G4" i="57"/>
  <c r="F4" i="57"/>
  <c r="D4" i="57"/>
  <c r="J2" i="72" l="1"/>
  <c r="H2" i="72"/>
  <c r="F2" i="72"/>
  <c r="H14" i="39" l="1"/>
  <c r="F14" i="39"/>
  <c r="H13" i="39"/>
  <c r="F13" i="39"/>
  <c r="H12" i="39"/>
  <c r="F12" i="39"/>
  <c r="H11" i="39"/>
  <c r="F11" i="39"/>
  <c r="H10" i="39"/>
  <c r="F10" i="39"/>
  <c r="H9" i="39"/>
  <c r="F9" i="39"/>
  <c r="H8" i="39"/>
  <c r="F8" i="39"/>
  <c r="H7" i="39"/>
  <c r="F7" i="39"/>
  <c r="H6" i="39"/>
  <c r="F6" i="39"/>
  <c r="H5" i="39"/>
  <c r="F5" i="39"/>
  <c r="H4" i="39"/>
  <c r="F4" i="39"/>
  <c r="H3" i="39"/>
  <c r="F3" i="39"/>
  <c r="H2" i="39"/>
  <c r="F2" i="39"/>
  <c r="H11" i="38" l="1"/>
  <c r="H10" i="38"/>
  <c r="H9" i="38"/>
  <c r="H8" i="38"/>
  <c r="J7" i="38"/>
  <c r="H7" i="38"/>
  <c r="J5" i="38" l="1"/>
  <c r="H5" i="38"/>
  <c r="F5" i="38" l="1"/>
  <c r="J4" i="38"/>
  <c r="H4" i="38"/>
  <c r="F4" i="38"/>
  <c r="J3" i="38" l="1"/>
  <c r="H3" i="38"/>
  <c r="F3" i="38"/>
  <c r="J2" i="38"/>
  <c r="H2" i="38"/>
  <c r="F2" i="38"/>
  <c r="H16" i="37"/>
  <c r="H14" i="37"/>
  <c r="H15" i="37"/>
  <c r="K13" i="37" l="1"/>
  <c r="H13" i="37"/>
  <c r="K12" i="37" l="1"/>
  <c r="H12" i="37"/>
  <c r="K11" i="37" l="1"/>
  <c r="H11" i="37" l="1"/>
  <c r="K10" i="37"/>
  <c r="H10" i="37" l="1"/>
  <c r="K9" i="37"/>
  <c r="H9" i="37"/>
  <c r="K8" i="37"/>
  <c r="H8" i="37"/>
  <c r="K7" i="37"/>
  <c r="H7" i="37"/>
  <c r="K6" i="37"/>
  <c r="H6" i="37"/>
  <c r="K2" i="37" l="1"/>
  <c r="H2" i="37"/>
  <c r="F2" i="37"/>
  <c r="B75" i="102" s="1"/>
  <c r="J21" i="36" l="1"/>
  <c r="H21" i="36"/>
  <c r="J2" i="36"/>
  <c r="H2" i="36"/>
  <c r="F2" i="36"/>
  <c r="J16" i="36" l="1"/>
  <c r="H16" i="36"/>
  <c r="F16" i="36"/>
  <c r="J15" i="36"/>
  <c r="H15" i="36"/>
  <c r="F15" i="36"/>
  <c r="J14" i="36" l="1"/>
  <c r="H14" i="36"/>
  <c r="F14" i="36"/>
  <c r="H13" i="36" l="1"/>
  <c r="F13" i="36" l="1"/>
  <c r="J12" i="36" l="1"/>
  <c r="H12" i="36" l="1"/>
  <c r="F12" i="36"/>
  <c r="J11" i="36"/>
  <c r="H11" i="36"/>
  <c r="F11" i="36"/>
  <c r="J10" i="36"/>
  <c r="H10" i="36"/>
  <c r="F10" i="36"/>
  <c r="J9" i="36"/>
  <c r="H9" i="36"/>
  <c r="F9" i="36"/>
  <c r="J8" i="36"/>
  <c r="H8" i="36"/>
  <c r="F8" i="36"/>
  <c r="J7" i="36"/>
  <c r="H7" i="36"/>
  <c r="F7" i="36"/>
  <c r="H76" i="102" l="1"/>
  <c r="J3" i="36"/>
  <c r="H3" i="36"/>
  <c r="F3" i="36" l="1"/>
  <c r="H75" i="102" s="1"/>
  <c r="E77" i="102" l="1"/>
  <c r="E76" i="102" l="1"/>
  <c r="H10" i="102"/>
  <c r="D113" i="76"/>
  <c r="D89" i="1"/>
  <c r="M68" i="1" l="1"/>
  <c r="G68" i="1"/>
  <c r="F68" i="1"/>
  <c r="M67" i="1"/>
  <c r="G67" i="1"/>
  <c r="F67" i="1" l="1"/>
  <c r="M66" i="1"/>
  <c r="G66" i="1"/>
  <c r="F66" i="1"/>
  <c r="M65" i="1" l="1"/>
  <c r="G65" i="1"/>
  <c r="F65" i="1"/>
  <c r="K64" i="1" l="1"/>
  <c r="M64" i="1" s="1"/>
  <c r="G64" i="1"/>
  <c r="F64" i="1" l="1"/>
  <c r="M45" i="1"/>
  <c r="G45" i="1"/>
  <c r="F45" i="1"/>
  <c r="M44" i="1"/>
  <c r="G44" i="1"/>
  <c r="F44" i="1"/>
  <c r="M43" i="1"/>
  <c r="G43" i="1"/>
  <c r="F43" i="1"/>
  <c r="M42" i="1"/>
  <c r="B82" i="1" s="1"/>
  <c r="G42" i="1"/>
  <c r="F42" i="1"/>
  <c r="M41" i="1"/>
  <c r="G41" i="1"/>
  <c r="F41" i="1" l="1"/>
  <c r="M40" i="1"/>
  <c r="G40" i="1"/>
  <c r="F40" i="1"/>
  <c r="M39" i="1"/>
  <c r="G39" i="1"/>
  <c r="F39" i="1" l="1"/>
  <c r="M38" i="1"/>
  <c r="G38" i="1"/>
  <c r="F38" i="1" l="1"/>
  <c r="M37" i="1"/>
  <c r="G37" i="1"/>
  <c r="F37" i="1" l="1"/>
  <c r="K36" i="1"/>
  <c r="M36" i="1" s="1"/>
  <c r="B74" i="1" s="1"/>
  <c r="G36" i="1"/>
  <c r="F36" i="1"/>
  <c r="K35" i="1"/>
  <c r="M35" i="1" s="1"/>
  <c r="G35" i="1"/>
  <c r="F35" i="1"/>
  <c r="M34" i="1"/>
  <c r="G34" i="1"/>
  <c r="F34" i="1"/>
  <c r="K33" i="1"/>
  <c r="M33" i="1" s="1"/>
  <c r="G33" i="1"/>
  <c r="F33" i="1"/>
  <c r="M32" i="1"/>
  <c r="G32" i="1"/>
  <c r="F32" i="1" l="1"/>
  <c r="M31" i="1"/>
  <c r="B81" i="1" s="1"/>
  <c r="G31" i="1"/>
  <c r="F31" i="1"/>
  <c r="M30" i="1"/>
  <c r="G30" i="1"/>
  <c r="F30" i="1" l="1"/>
  <c r="M29" i="1"/>
  <c r="K29" i="1"/>
  <c r="G29" i="1"/>
  <c r="F29" i="1"/>
  <c r="G28" i="1" l="1"/>
  <c r="F28" i="1" l="1"/>
  <c r="E28" i="1"/>
  <c r="M28" i="1" s="1"/>
  <c r="B87" i="1" s="1"/>
  <c r="M27" i="1"/>
  <c r="G27" i="1"/>
  <c r="F27" i="1"/>
  <c r="M26" i="1"/>
  <c r="G26" i="1"/>
  <c r="F26" i="1"/>
  <c r="M25" i="1"/>
  <c r="G25" i="1"/>
  <c r="F25" i="1"/>
  <c r="M24" i="1"/>
  <c r="G24" i="1"/>
  <c r="F24" i="1"/>
  <c r="M23" i="1"/>
  <c r="G23" i="1"/>
  <c r="F23" i="1" l="1"/>
  <c r="M22" i="1"/>
  <c r="K22" i="1"/>
  <c r="G22" i="1"/>
  <c r="F22" i="1"/>
  <c r="M21" i="1"/>
  <c r="K21" i="1"/>
  <c r="G21" i="1"/>
  <c r="F21" i="1"/>
  <c r="M20" i="1"/>
  <c r="G20" i="1"/>
  <c r="F20" i="1" l="1"/>
  <c r="M19" i="1"/>
  <c r="G19" i="1"/>
  <c r="F19" i="1"/>
  <c r="M18" i="1"/>
  <c r="G18" i="1"/>
  <c r="F18" i="1"/>
  <c r="K17" i="1" l="1"/>
  <c r="M17" i="1" s="1"/>
  <c r="B86" i="1" s="1"/>
  <c r="B84" i="1" s="1"/>
  <c r="G17" i="1"/>
  <c r="F17" i="1" l="1"/>
  <c r="M16" i="1"/>
  <c r="B73" i="1" s="1"/>
  <c r="G16" i="1"/>
  <c r="F16" i="1" l="1"/>
  <c r="K15" i="1" l="1"/>
  <c r="M15" i="1" s="1"/>
  <c r="G15" i="1"/>
  <c r="F15" i="1"/>
  <c r="K14" i="1" l="1"/>
  <c r="M14" i="1" s="1"/>
  <c r="B83" i="1" s="1"/>
  <c r="G14" i="1"/>
  <c r="F14" i="1"/>
  <c r="K13" i="1" l="1"/>
  <c r="M13" i="1" s="1"/>
  <c r="B78" i="1" s="1"/>
  <c r="G13" i="1"/>
  <c r="F13" i="1"/>
  <c r="M12" i="1" l="1"/>
  <c r="G12" i="1"/>
  <c r="F12" i="1"/>
  <c r="M11" i="1" l="1"/>
  <c r="B76" i="1" s="1"/>
  <c r="G11" i="1"/>
  <c r="F11" i="1"/>
  <c r="M10" i="1" l="1"/>
  <c r="G10" i="1" l="1"/>
  <c r="F10" i="1"/>
  <c r="M9" i="1" l="1"/>
  <c r="B77" i="1" s="1"/>
  <c r="B89" i="1" s="1"/>
  <c r="C88" i="1" s="1"/>
  <c r="G9" i="1"/>
  <c r="F9" i="1"/>
  <c r="M4" i="1" s="1"/>
  <c r="C77" i="1" s="1"/>
  <c r="C89" i="1" s="1"/>
  <c r="K4" i="1"/>
  <c r="G4" i="1"/>
  <c r="F4" i="1"/>
  <c r="F41" i="5" l="1"/>
  <c r="E41" i="5"/>
  <c r="G40" i="5"/>
  <c r="G39" i="5"/>
  <c r="G38" i="5"/>
  <c r="G37" i="5"/>
  <c r="G36" i="5"/>
  <c r="G41" i="5" l="1"/>
  <c r="F35" i="5" l="1"/>
  <c r="E35" i="5"/>
  <c r="G34" i="5"/>
  <c r="G33" i="5"/>
  <c r="F32" i="5"/>
  <c r="E32" i="5"/>
  <c r="G32" i="5" s="1"/>
  <c r="G31" i="5"/>
  <c r="G30" i="5"/>
  <c r="G29" i="5"/>
  <c r="G28" i="5"/>
  <c r="G27" i="5"/>
  <c r="F26" i="5"/>
  <c r="E26" i="5"/>
  <c r="G25" i="5"/>
  <c r="G26" i="5" s="1"/>
  <c r="G24" i="5"/>
  <c r="F23" i="5"/>
  <c r="E23" i="5"/>
  <c r="G23" i="5" s="1"/>
  <c r="E82" i="102" s="1"/>
  <c r="G22" i="5"/>
  <c r="G21" i="5"/>
  <c r="G20" i="5"/>
  <c r="G19" i="5"/>
  <c r="G18" i="5"/>
  <c r="G35" i="5" l="1"/>
  <c r="F17" i="5"/>
  <c r="E17" i="5"/>
  <c r="G16" i="5"/>
  <c r="G15" i="5"/>
  <c r="F14" i="5"/>
  <c r="G14" i="5" s="1"/>
  <c r="E14" i="5"/>
  <c r="G13" i="5"/>
  <c r="G12" i="5"/>
  <c r="G11" i="5"/>
  <c r="G10" i="5"/>
  <c r="G9" i="5"/>
  <c r="G17" i="5" l="1"/>
  <c r="F8" i="5"/>
  <c r="F43" i="5" s="1"/>
  <c r="E8" i="5"/>
  <c r="E43" i="5" s="1"/>
  <c r="G7" i="5"/>
  <c r="G6" i="5"/>
  <c r="G8" i="5" s="1"/>
  <c r="C98" i="3"/>
  <c r="G43" i="5" l="1"/>
  <c r="C94" i="3"/>
  <c r="C92" i="3"/>
  <c r="C82" i="3"/>
  <c r="C79" i="3"/>
  <c r="C76" i="3"/>
  <c r="H69" i="3"/>
  <c r="J69" i="3" s="1"/>
  <c r="C67" i="3"/>
  <c r="C64" i="3"/>
  <c r="C61" i="3"/>
  <c r="F57" i="3"/>
  <c r="D57" i="3"/>
  <c r="C95" i="3" l="1"/>
  <c r="C55" i="3"/>
  <c r="C52" i="3"/>
  <c r="C43" i="3" l="1"/>
  <c r="D41" i="3"/>
  <c r="C39" i="3" l="1"/>
  <c r="C35" i="3" l="1"/>
  <c r="C32" i="3"/>
  <c r="C18" i="3" l="1"/>
  <c r="C15" i="3" l="1"/>
  <c r="C12" i="3"/>
  <c r="C9" i="3"/>
  <c r="E8" i="3" l="1"/>
  <c r="F8" i="3" s="1"/>
  <c r="D8" i="3"/>
  <c r="A1" i="3" l="1"/>
  <c r="R81" i="102" l="1"/>
  <c r="P81" i="102"/>
  <c r="O81" i="102"/>
  <c r="N81" i="102"/>
  <c r="M81" i="102"/>
  <c r="L81" i="102"/>
  <c r="K81" i="102"/>
  <c r="J81" i="102"/>
  <c r="I81" i="102"/>
  <c r="H81" i="102"/>
  <c r="G81" i="102"/>
  <c r="F81" i="102"/>
  <c r="C81" i="102"/>
  <c r="B81" i="102"/>
  <c r="E81" i="102" l="1"/>
  <c r="P75" i="102" l="1"/>
  <c r="R49" i="102" l="1"/>
  <c r="P49" i="102" s="1"/>
  <c r="O49" i="102"/>
  <c r="N49" i="102"/>
  <c r="M49" i="102"/>
  <c r="L49" i="102" s="1"/>
  <c r="K49" i="102" s="1"/>
  <c r="J49" i="102"/>
  <c r="I49" i="102"/>
  <c r="H49" i="102" l="1"/>
  <c r="G49" i="102"/>
  <c r="F49" i="102"/>
  <c r="E49" i="102" l="1"/>
  <c r="C49" i="102"/>
  <c r="B49" i="102"/>
  <c r="R34" i="102" l="1"/>
  <c r="P34" i="102"/>
  <c r="O34" i="102"/>
  <c r="N34" i="102"/>
  <c r="M34" i="102"/>
  <c r="L34" i="102"/>
  <c r="K34" i="102"/>
  <c r="J34" i="102"/>
  <c r="I34" i="102"/>
  <c r="H34" i="102"/>
  <c r="G34" i="102"/>
  <c r="F34" i="102" l="1"/>
  <c r="F33" i="102" s="1"/>
  <c r="E34" i="102"/>
  <c r="C34" i="102"/>
  <c r="B33" i="102"/>
  <c r="R33" i="102"/>
  <c r="P33" i="102" s="1"/>
  <c r="O33" i="102"/>
  <c r="N33" i="102" s="1"/>
  <c r="M33" i="102"/>
  <c r="L33" i="102" s="1"/>
  <c r="K33" i="102" s="1"/>
  <c r="J33" i="102"/>
  <c r="I33" i="102" s="1"/>
  <c r="H33" i="102"/>
  <c r="G33" i="102"/>
  <c r="R14" i="102"/>
  <c r="P14" i="102"/>
  <c r="O14" i="102"/>
  <c r="N14" i="102"/>
  <c r="M14" i="102"/>
  <c r="L14" i="102"/>
  <c r="K14" i="102"/>
  <c r="J14" i="102"/>
  <c r="E33" i="102" l="1"/>
  <c r="I14" i="102"/>
  <c r="H14" i="102"/>
  <c r="H9" i="102" s="1"/>
  <c r="G14" i="102"/>
  <c r="F14" i="102" s="1"/>
  <c r="E14" i="102"/>
  <c r="C14" i="102"/>
  <c r="C9" i="102" s="1"/>
  <c r="B13" i="102"/>
  <c r="N10" i="102"/>
  <c r="N9" i="102" s="1"/>
  <c r="M10" i="102"/>
  <c r="M9" i="102" s="1"/>
  <c r="K10" i="102"/>
  <c r="E10" i="102"/>
  <c r="R9" i="102"/>
  <c r="P9" i="102"/>
  <c r="O9" i="102"/>
  <c r="J9" i="102"/>
  <c r="I9" i="102" s="1"/>
  <c r="G9" i="102"/>
  <c r="E9" i="102" l="1"/>
  <c r="L9" i="102"/>
  <c r="F9" i="102"/>
  <c r="C33" i="102"/>
  <c r="K9" i="102"/>
  <c r="B9" i="102"/>
  <c r="R4" i="102"/>
  <c r="R86" i="102" s="1"/>
  <c r="P4" i="102"/>
  <c r="P86" i="102" s="1"/>
  <c r="O4" i="102"/>
  <c r="O86" i="102" s="1"/>
  <c r="N4" i="102"/>
  <c r="N86" i="102" s="1"/>
  <c r="M4" i="102"/>
  <c r="M86" i="102" s="1"/>
  <c r="L4" i="102"/>
  <c r="K4" i="102"/>
  <c r="J4" i="102"/>
  <c r="I4" i="102"/>
  <c r="I86" i="102" s="1"/>
  <c r="H4" i="102"/>
  <c r="H86" i="102" s="1"/>
  <c r="G86" i="102" s="1"/>
  <c r="G4" i="102"/>
  <c r="F4" i="102"/>
  <c r="E4" i="102"/>
  <c r="C4" i="102"/>
  <c r="B4" i="102"/>
  <c r="I2" i="101"/>
  <c r="I9" i="101" s="1"/>
  <c r="J2" i="101"/>
  <c r="L26" i="101"/>
  <c r="L27" i="101" s="1"/>
  <c r="I6" i="101"/>
  <c r="J6" i="101" s="1"/>
  <c r="I4" i="101"/>
  <c r="J4" i="101"/>
  <c r="I5" i="101"/>
  <c r="J5" i="101"/>
  <c r="I7" i="101"/>
  <c r="J7" i="101"/>
  <c r="I8" i="101"/>
  <c r="J8" i="101" s="1"/>
  <c r="I37" i="101"/>
  <c r="J37" i="101"/>
  <c r="J9" i="101" l="1"/>
  <c r="L11" i="101" s="1"/>
  <c r="L86" i="102"/>
  <c r="K86" i="102"/>
  <c r="E86" i="102"/>
  <c r="E89" i="102" s="1"/>
  <c r="C86" i="102"/>
  <c r="J86" i="102"/>
  <c r="F86" i="102"/>
  <c r="B86" i="102"/>
  <c r="B89" i="102" s="1"/>
  <c r="H8" i="57"/>
  <c r="H10" i="57"/>
  <c r="F8" i="57"/>
  <c r="G8" i="57"/>
  <c r="G7" i="82"/>
  <c r="H7" i="82"/>
  <c r="G10" i="82"/>
  <c r="H10" i="82"/>
  <c r="G3" i="88"/>
  <c r="H3" i="88"/>
  <c r="H6" i="89"/>
  <c r="I6" i="89"/>
  <c r="H5" i="89"/>
  <c r="I5" i="89"/>
  <c r="H9" i="89"/>
  <c r="I9" i="89"/>
  <c r="H8" i="89"/>
  <c r="I8" i="89"/>
  <c r="E10" i="97"/>
  <c r="K10" i="97"/>
  <c r="B21" i="97"/>
  <c r="B30" i="97"/>
  <c r="B31" i="97"/>
  <c r="Q12" i="97"/>
  <c r="Q13" i="97"/>
  <c r="J15" i="97"/>
  <c r="N21" i="97"/>
  <c r="O21" i="97"/>
  <c r="P21" i="97"/>
  <c r="B24" i="9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AA</author>
  </authors>
  <commentList>
    <comment ref="E1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RECTTE AGENCE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<sst xmlns="http://schemas.openxmlformats.org/spreadsheetml/2006/main" count="3918" uniqueCount="1416">
  <si>
    <t>CLIENT</t>
  </si>
  <si>
    <t>Facture</t>
  </si>
  <si>
    <t>MCNE</t>
  </si>
  <si>
    <t>REGLEMENT</t>
  </si>
  <si>
    <t>DIFFERENCE</t>
  </si>
  <si>
    <t>Numéro</t>
  </si>
  <si>
    <t>Date</t>
  </si>
  <si>
    <t>DEV</t>
  </si>
  <si>
    <t>MONTANT</t>
  </si>
  <si>
    <t>TND</t>
  </si>
  <si>
    <t>Échéance</t>
  </si>
  <si>
    <t>Montant</t>
  </si>
  <si>
    <t>DATE MEP</t>
  </si>
  <si>
    <t>ECHEANCE</t>
  </si>
  <si>
    <t xml:space="preserve">Date </t>
  </si>
  <si>
    <t>MED ENERGY</t>
  </si>
  <si>
    <t>EUR</t>
  </si>
  <si>
    <t>MARIBAT</t>
  </si>
  <si>
    <t>USD</t>
  </si>
  <si>
    <t>ERRAFIK</t>
  </si>
  <si>
    <t>EL HARAMAINE</t>
  </si>
  <si>
    <t>FN110017</t>
  </si>
  <si>
    <t>SNA</t>
  </si>
  <si>
    <t>STA</t>
  </si>
  <si>
    <t>EURO</t>
  </si>
  <si>
    <t>DOLLARS</t>
  </si>
  <si>
    <t xml:space="preserve">EN COURS </t>
  </si>
  <si>
    <t>Virement</t>
  </si>
  <si>
    <t>Previsions</t>
  </si>
  <si>
    <t>Vente Devise</t>
  </si>
  <si>
    <t>Maribat</t>
  </si>
  <si>
    <t>El Haramaine</t>
  </si>
  <si>
    <t>Med Energy</t>
  </si>
  <si>
    <t>Errafik</t>
  </si>
  <si>
    <t>Depenses</t>
  </si>
  <si>
    <t>Import</t>
  </si>
  <si>
    <t>Goonvean</t>
  </si>
  <si>
    <t>Accuma</t>
  </si>
  <si>
    <t>Akumsan</t>
  </si>
  <si>
    <t>Sovema</t>
  </si>
  <si>
    <t>Engagement Banque</t>
  </si>
  <si>
    <t>Autorisation</t>
  </si>
  <si>
    <t>TAUX EURO/TND</t>
  </si>
  <si>
    <t>TAUX USD/TND</t>
  </si>
  <si>
    <t>TAUX GBP/TND</t>
  </si>
  <si>
    <t>S T A</t>
  </si>
  <si>
    <t>FOURNISSEUR</t>
  </si>
  <si>
    <t>MONNAIE</t>
  </si>
  <si>
    <t>MONT DEV.</t>
  </si>
  <si>
    <t>MONT DT</t>
  </si>
  <si>
    <t>TOTAL</t>
  </si>
  <si>
    <t>S N A</t>
  </si>
  <si>
    <t>CMT</t>
  </si>
  <si>
    <t>Traite SNA</t>
  </si>
  <si>
    <t>Traite STA</t>
  </si>
  <si>
    <t>Leasing</t>
  </si>
  <si>
    <t>Steg</t>
  </si>
  <si>
    <t>Salaires</t>
  </si>
  <si>
    <t>Recette des Finances</t>
  </si>
  <si>
    <t>Local</t>
  </si>
  <si>
    <t>Escompte</t>
  </si>
  <si>
    <t>Espece</t>
  </si>
  <si>
    <t>Cheque</t>
  </si>
  <si>
    <t>STB MEG</t>
  </si>
  <si>
    <t>STB</t>
  </si>
  <si>
    <t>SND</t>
  </si>
  <si>
    <t>INT</t>
  </si>
  <si>
    <t>PP</t>
  </si>
  <si>
    <t>Total</t>
  </si>
  <si>
    <t>Intérêt</t>
  </si>
  <si>
    <t>Principal</t>
  </si>
  <si>
    <t>Crédit</t>
  </si>
  <si>
    <t>SNA-NOUR</t>
  </si>
  <si>
    <t>TIP</t>
  </si>
  <si>
    <t>FONDERIE</t>
  </si>
  <si>
    <t xml:space="preserve">STB </t>
  </si>
  <si>
    <t>Dividendes</t>
  </si>
  <si>
    <t>PHENICIA</t>
  </si>
  <si>
    <t>Fonderie</t>
  </si>
  <si>
    <t>CCA</t>
  </si>
  <si>
    <t>CNSS</t>
  </si>
  <si>
    <t>VENTE DEVISE</t>
  </si>
  <si>
    <t>Biasin</t>
  </si>
  <si>
    <t>EL HARAMAIN</t>
  </si>
  <si>
    <t>FN160077</t>
  </si>
  <si>
    <t>EURO MEG</t>
  </si>
  <si>
    <t>$ MEG</t>
  </si>
  <si>
    <t>KG</t>
  </si>
  <si>
    <t>HEMPE</t>
  </si>
  <si>
    <t>DECHET BATTERIE</t>
  </si>
  <si>
    <t>FN170025</t>
  </si>
  <si>
    <t xml:space="preserve">HEMPE </t>
  </si>
  <si>
    <t>ALPHA</t>
  </si>
  <si>
    <t>Plomb local</t>
  </si>
  <si>
    <t>Placement</t>
  </si>
  <si>
    <t>TAUX CNY/TND</t>
  </si>
  <si>
    <t>FH170007</t>
  </si>
  <si>
    <t>FH170009</t>
  </si>
  <si>
    <t>FH170010</t>
  </si>
  <si>
    <t>FH170011</t>
  </si>
  <si>
    <t>FH170012</t>
  </si>
  <si>
    <t>BILLET DE TRESORERIE</t>
  </si>
  <si>
    <t>FN170058</t>
  </si>
  <si>
    <t>BATTERIEDIENST</t>
  </si>
  <si>
    <t>FN180005</t>
  </si>
  <si>
    <t>RESTITUTION TVA</t>
  </si>
  <si>
    <t>NOURAKKUMULATOREN</t>
  </si>
  <si>
    <t>NOUR Allemagne</t>
  </si>
  <si>
    <t>EX180001</t>
  </si>
  <si>
    <t>TOTAL CRASSE</t>
  </si>
  <si>
    <t>TOTAL DECHET BATTERIE</t>
  </si>
  <si>
    <t>TOTAL ETAIN</t>
  </si>
  <si>
    <t>TOTAL VIEUX PLOMB</t>
  </si>
  <si>
    <t>REGLEMENT RECU</t>
  </si>
  <si>
    <t>RESTE A PAYER</t>
  </si>
  <si>
    <t>Allemagne</t>
  </si>
  <si>
    <t>PRIME INVESTISSEMENT</t>
  </si>
  <si>
    <t>PLOMB</t>
  </si>
  <si>
    <t>Adr fact</t>
  </si>
  <si>
    <t>Nom</t>
  </si>
  <si>
    <t>7R20002</t>
  </si>
  <si>
    <t>HAROUNI HAFSIA BT MOHAMED</t>
  </si>
  <si>
    <t>TAHER MESTIRI</t>
  </si>
  <si>
    <t>6R23155</t>
  </si>
  <si>
    <t>7R16041</t>
  </si>
  <si>
    <t>SALEM AGIL</t>
  </si>
  <si>
    <t>6R21179</t>
  </si>
  <si>
    <t>BAHRI GNAOUI</t>
  </si>
  <si>
    <t>IMED BEN ZEKRI</t>
  </si>
  <si>
    <t>AMEL ZGUIDENE EP SADFI</t>
  </si>
  <si>
    <t>MOHAMED ZARAGA  Z P A</t>
  </si>
  <si>
    <t>ABDELKADER MOEZ BEN LAMINE</t>
  </si>
  <si>
    <t>MOHAMED BEN MOHAMED SAMIR</t>
  </si>
  <si>
    <t>STE L'HORIZON DE PIECES DE</t>
  </si>
  <si>
    <t>STE MED ALI DE PIECES DE</t>
  </si>
  <si>
    <t>BOUAZIZ SLAH</t>
  </si>
  <si>
    <t>3R18401</t>
  </si>
  <si>
    <t>TAHER BEN AMOR MAHJOUBI</t>
  </si>
  <si>
    <t>8R08037</t>
  </si>
  <si>
    <t>FIDHA AMINE B FATHI B HEDI</t>
  </si>
  <si>
    <t>8R09044</t>
  </si>
  <si>
    <t>KOUKI FAOUZI</t>
  </si>
  <si>
    <t>8R09060</t>
  </si>
  <si>
    <t>SAMIR BEN SLIMEN AOUADI</t>
  </si>
  <si>
    <t>1R03074</t>
  </si>
  <si>
    <t>BEJI FAYCEL</t>
  </si>
  <si>
    <t>3R18053</t>
  </si>
  <si>
    <t>HACHICHA THAMEUR</t>
  </si>
  <si>
    <t>3R18274</t>
  </si>
  <si>
    <t>STE HSOUNA FRIKHA ET FILS</t>
  </si>
  <si>
    <t>MOHAMED RACHED AMAMOU</t>
  </si>
  <si>
    <t>STE SAAIDI PIECES  RECHANGE</t>
  </si>
  <si>
    <t>1R06020</t>
  </si>
  <si>
    <t>3R18123</t>
  </si>
  <si>
    <t>WAJDI BOUZGENDA</t>
  </si>
  <si>
    <t>3R18375</t>
  </si>
  <si>
    <t>MOHAMED AMINE BEN AMOR</t>
  </si>
  <si>
    <t>8R09054</t>
  </si>
  <si>
    <t>OUESLATI LOTFI B BELGACEM</t>
  </si>
  <si>
    <t>4R13116</t>
  </si>
  <si>
    <t>AHMED BEN ALI TEKAYA</t>
  </si>
  <si>
    <t>3R18384</t>
  </si>
  <si>
    <t>STE DES PIECES DE RECHANGE</t>
  </si>
  <si>
    <t>MANAI WAHID</t>
  </si>
  <si>
    <t>JALEL BEN AHMED EL GABSI</t>
  </si>
  <si>
    <t>STE ALBOURAQ PIECES AUTO</t>
  </si>
  <si>
    <t>3R18061</t>
  </si>
  <si>
    <t>COPI  AUTOS</t>
  </si>
  <si>
    <t>4R12228</t>
  </si>
  <si>
    <t>SOCIETE DARDOUR ET FILS</t>
  </si>
  <si>
    <t>3R18072</t>
  </si>
  <si>
    <t>SIRAJ BEN ZINA</t>
  </si>
  <si>
    <t>3R18207</t>
  </si>
  <si>
    <t>SMAOUI MOHSEN</t>
  </si>
  <si>
    <t>4R12236</t>
  </si>
  <si>
    <t>STE ELECTRICIA AUTO</t>
  </si>
  <si>
    <t>AMOR BEN ABDRAHMENE BIBANI</t>
  </si>
  <si>
    <t>NOUREDDINE B MOHAMOUD KNIOUA</t>
  </si>
  <si>
    <t>3R18234</t>
  </si>
  <si>
    <t>STE CDTPR</t>
  </si>
  <si>
    <t>KHALED DRIDI</t>
  </si>
  <si>
    <t>BEJI CHEDLY</t>
  </si>
  <si>
    <t>MONDHER MEFTAH</t>
  </si>
  <si>
    <t>LES EQUIPEMENTS MARITIMES DE</t>
  </si>
  <si>
    <t>SMPA MASMOUDI PIECES AUTOS</t>
  </si>
  <si>
    <t>BELGACEM BEN BOUBAKER MEJRI</t>
  </si>
  <si>
    <t>JALELEDDINE B SALEM ZERELLI</t>
  </si>
  <si>
    <t>NEJI EL JAZI</t>
  </si>
  <si>
    <t>AYMEN BEN HAMMADI BENAMOR</t>
  </si>
  <si>
    <t>BOURAOUI LAMTI</t>
  </si>
  <si>
    <t>3R18373</t>
  </si>
  <si>
    <t>MAKNI HANEN</t>
  </si>
  <si>
    <t>7R17047</t>
  </si>
  <si>
    <t>ARBI BEN ALIU GHARBI</t>
  </si>
  <si>
    <t>4R14007</t>
  </si>
  <si>
    <t>PIECES AUTOS BEN ALAYA MED</t>
  </si>
  <si>
    <t>8R08045</t>
  </si>
  <si>
    <t>STE AOULED KHDHIRI SARL</t>
  </si>
  <si>
    <t>8R09020</t>
  </si>
  <si>
    <t>MAKREM ZAMMALI</t>
  </si>
  <si>
    <t>8R10052</t>
  </si>
  <si>
    <t>STE MAIS</t>
  </si>
  <si>
    <t>COMPTOIR METOUIEN AUTOMOBILE</t>
  </si>
  <si>
    <t>CHEDLY AOUINI</t>
  </si>
  <si>
    <t>SOCIETE BOUJNAH</t>
  </si>
  <si>
    <t>HASSINI AHMED BEN MOHAMED</t>
  </si>
  <si>
    <t>MAJED BEN MED HAMMAMI</t>
  </si>
  <si>
    <t>SOCIETE AUTOS PIECES</t>
  </si>
  <si>
    <t>CHHIMI HENDA</t>
  </si>
  <si>
    <t>3R18101</t>
  </si>
  <si>
    <t>ETAB. FARHAT BOUJELBAN</t>
  </si>
  <si>
    <t>3R18119</t>
  </si>
  <si>
    <t>ZOUARI FRERES</t>
  </si>
  <si>
    <t>SOCIETE ALI PIECES AUTOS</t>
  </si>
  <si>
    <t>STE SLIM VENTE PIECES AUTOS</t>
  </si>
  <si>
    <t>3R18396</t>
  </si>
  <si>
    <t>3R15038</t>
  </si>
  <si>
    <t>ANIS BEN KHALIPHA RHAIEM</t>
  </si>
  <si>
    <t>4R13115</t>
  </si>
  <si>
    <t>SOCIETE WORLD PARTS</t>
  </si>
  <si>
    <t>STE MDIALE PCE AUTOMOBILES</t>
  </si>
  <si>
    <t>MOURAD BEN GACEM NALOUTI</t>
  </si>
  <si>
    <t>8R09023</t>
  </si>
  <si>
    <t>SOUADI ABDELKADER</t>
  </si>
  <si>
    <t>1R05171</t>
  </si>
  <si>
    <t>4R12231</t>
  </si>
  <si>
    <t>PROCAR TUNISIE</t>
  </si>
  <si>
    <t>COMPTOIR ABDENNADHER</t>
  </si>
  <si>
    <t>3R18264</t>
  </si>
  <si>
    <t>GUIDARA ABDALLAH</t>
  </si>
  <si>
    <t>BOUCHADDAKH KHALED</t>
  </si>
  <si>
    <t>STE COMPT EQUIP AUTOS</t>
  </si>
  <si>
    <t>3R18406</t>
  </si>
  <si>
    <t>SOSAPIA</t>
  </si>
  <si>
    <t>7R19061</t>
  </si>
  <si>
    <t>STE GENERALE AUTO DU SUD</t>
  </si>
  <si>
    <t>ALI YAHYAOUI</t>
  </si>
  <si>
    <t>STE UNIVSEL AUTOMOTIVES PART</t>
  </si>
  <si>
    <t>AOUINI SAFOUANE</t>
  </si>
  <si>
    <t>GARA NABIL BEN BECHIR</t>
  </si>
  <si>
    <t>EZZEDDINE LETIFI</t>
  </si>
  <si>
    <t>STE TOUNSI PIECES AUTO</t>
  </si>
  <si>
    <t>BEDOUI MANEL BT ALI</t>
  </si>
  <si>
    <t>3R18412</t>
  </si>
  <si>
    <t>STE REKIK AUTOS</t>
  </si>
  <si>
    <t>MONCEF ZARRAGA</t>
  </si>
  <si>
    <t>1R02280</t>
  </si>
  <si>
    <t>MOHSEN ZARAGA</t>
  </si>
  <si>
    <t>6R23153</t>
  </si>
  <si>
    <t>Echéance</t>
  </si>
  <si>
    <t>3R18068</t>
  </si>
  <si>
    <t>MOHAMED GHARIANI</t>
  </si>
  <si>
    <t>1R04037</t>
  </si>
  <si>
    <t>SOCIETE ZAGHLA FRERES</t>
  </si>
  <si>
    <t>1R03141</t>
  </si>
  <si>
    <t>BEN ALI HAMDI</t>
  </si>
  <si>
    <t>DIVERS ET IMPREVUE</t>
  </si>
  <si>
    <t>TRABELSI JAMEL</t>
  </si>
  <si>
    <t>Banque</t>
  </si>
  <si>
    <t>EL HORRY FARES PAWER AUTO</t>
  </si>
  <si>
    <t>NAJET BENT SALAH ZAMELI</t>
  </si>
  <si>
    <t>8R09006</t>
  </si>
  <si>
    <t>GHARBI JALEL BEN BRAHIM</t>
  </si>
  <si>
    <t>TYPE</t>
  </si>
  <si>
    <t>DESIGN</t>
  </si>
  <si>
    <t>OP N°</t>
  </si>
  <si>
    <t>DATE-OP</t>
  </si>
  <si>
    <t>DATE-RECU</t>
  </si>
  <si>
    <t>MT OUV</t>
  </si>
  <si>
    <t>REG</t>
  </si>
  <si>
    <t>MT</t>
  </si>
  <si>
    <t>N° CHQ</t>
  </si>
  <si>
    <t>STATUT</t>
  </si>
  <si>
    <t>CH</t>
  </si>
  <si>
    <t>TR</t>
  </si>
  <si>
    <t>GENERAL INCENDIE</t>
  </si>
  <si>
    <t>ISST</t>
  </si>
  <si>
    <t>00012526</t>
  </si>
  <si>
    <t>0003890</t>
  </si>
  <si>
    <t>00012668</t>
  </si>
  <si>
    <t>0004009</t>
  </si>
  <si>
    <t>MAISON DE LA BALANCE</t>
  </si>
  <si>
    <t>00012911</t>
  </si>
  <si>
    <t>0004223</t>
  </si>
  <si>
    <t>PNA</t>
  </si>
  <si>
    <t>HELA SEMMERI</t>
  </si>
  <si>
    <t>00005927</t>
  </si>
  <si>
    <t>MEGRINE</t>
  </si>
  <si>
    <t>0000507</t>
  </si>
  <si>
    <t>ZRIBI MAKRAM</t>
  </si>
  <si>
    <t>00006362</t>
  </si>
  <si>
    <t>0000724</t>
  </si>
  <si>
    <t>00006375</t>
  </si>
  <si>
    <t>0000730</t>
  </si>
  <si>
    <t>TOTAL 90 JOURS</t>
  </si>
  <si>
    <t>TOTAL &gt; 90 JOURS</t>
  </si>
  <si>
    <t>Cheque PF</t>
  </si>
  <si>
    <t>Cheque V</t>
  </si>
  <si>
    <t>STE TAHRI STATION SERVICES</t>
  </si>
  <si>
    <t>COTE D'IVOIRE</t>
  </si>
  <si>
    <t>JILANI BEN AHMED CHNINA</t>
  </si>
  <si>
    <t>3R18047</t>
  </si>
  <si>
    <t>1R02257</t>
  </si>
  <si>
    <t>ESSKANDER SLIMAN</t>
  </si>
  <si>
    <t>FAKHREDDINE SAKYES</t>
  </si>
  <si>
    <t>S M E A</t>
  </si>
  <si>
    <t>3R18160</t>
  </si>
  <si>
    <t>C C A</t>
  </si>
  <si>
    <t>CREDIT DE GESTION</t>
  </si>
  <si>
    <t>7R16055</t>
  </si>
  <si>
    <t>SOTRAM</t>
  </si>
  <si>
    <t>FINANCES</t>
  </si>
  <si>
    <t>ETAIN</t>
  </si>
  <si>
    <t>HICHEM BEN IBRAHIM RAHALI</t>
  </si>
  <si>
    <t>8R08042</t>
  </si>
  <si>
    <t>1R02176</t>
  </si>
  <si>
    <t>KAIS</t>
  </si>
  <si>
    <t>N B I</t>
  </si>
  <si>
    <t>STE REGUIGUI PNEUMATIQUE</t>
  </si>
  <si>
    <t>1R02199</t>
  </si>
  <si>
    <t>FATHI NAJJAR</t>
  </si>
  <si>
    <t>00013563</t>
  </si>
  <si>
    <t>0004780</t>
  </si>
  <si>
    <t>IDEAL DECOR</t>
  </si>
  <si>
    <t>00000404</t>
  </si>
  <si>
    <t>00000403</t>
  </si>
  <si>
    <t>0000343</t>
  </si>
  <si>
    <t>0000342</t>
  </si>
  <si>
    <t>SOCOOPEC</t>
  </si>
  <si>
    <t>HEMPE COS</t>
  </si>
  <si>
    <t>4R12240</t>
  </si>
  <si>
    <t>SMITEC</t>
  </si>
  <si>
    <t>00000415</t>
  </si>
  <si>
    <t>0000350</t>
  </si>
  <si>
    <t>COTE IVOIRE</t>
  </si>
  <si>
    <t>1R06160</t>
  </si>
  <si>
    <t>SIA Italie</t>
  </si>
  <si>
    <t>GENERALE ELECT.AUTOMOBILE</t>
  </si>
  <si>
    <t>STE B.ABDESSALEM PIECES AUTO</t>
  </si>
  <si>
    <t>STE EL HAMDI PIECES.RECHANGE</t>
  </si>
  <si>
    <t>1R05173</t>
  </si>
  <si>
    <t>COMPTOIR AUTO.SVCES RAPIDES</t>
  </si>
  <si>
    <t>STE EQUIP.INDUSTRIEL &amp; MARIT</t>
  </si>
  <si>
    <t>STE PIECES.RECH.FRANCAISE</t>
  </si>
  <si>
    <t>STE. COMMERCIALE DES PIECES</t>
  </si>
  <si>
    <t>STE DES EQUIP.INDUST.&amp;TRANSP</t>
  </si>
  <si>
    <t>STE HAJ TAIEB PIECES.RECHANG</t>
  </si>
  <si>
    <t>FN190017</t>
  </si>
  <si>
    <t>AGIOS</t>
  </si>
  <si>
    <t>STE CHAABANI AUTOS "S-C-A"</t>
  </si>
  <si>
    <t>FN190001</t>
  </si>
  <si>
    <t>EN SIGNATURE</t>
  </si>
  <si>
    <t>SOGIM</t>
  </si>
  <si>
    <t>1R05103</t>
  </si>
  <si>
    <t>RIDHA BEN ALI MENSI</t>
  </si>
  <si>
    <t>8R08026</t>
  </si>
  <si>
    <t>STE MEDHIOUB PIECES AUTOS</t>
  </si>
  <si>
    <t>STE GLE DE FOURNITURE</t>
  </si>
  <si>
    <t>RESTE</t>
  </si>
  <si>
    <t>NABLI AUTO</t>
  </si>
  <si>
    <t>S.G.P</t>
  </si>
  <si>
    <t>OUERGHI MOUNIR B ABDELMAJID</t>
  </si>
  <si>
    <t>1R01556</t>
  </si>
  <si>
    <t>4R13137</t>
  </si>
  <si>
    <t>NASRALLAH BELGACEM B.HOUCH</t>
  </si>
  <si>
    <t>STE CENTRE NAOUALI SERVICES</t>
  </si>
  <si>
    <t>FN190050</t>
  </si>
  <si>
    <t>SIA ITALY</t>
  </si>
  <si>
    <t>HAZEM</t>
  </si>
  <si>
    <t>KAMMOUN</t>
  </si>
  <si>
    <t>STA NOUR</t>
  </si>
  <si>
    <t>GROCOMA</t>
  </si>
  <si>
    <t>COMPAGNIE TNNE DE REPRESENT.</t>
  </si>
  <si>
    <t>1R03030</t>
  </si>
  <si>
    <t>6R21055</t>
  </si>
  <si>
    <t>8R10038</t>
  </si>
  <si>
    <t>FN190068</t>
  </si>
  <si>
    <t>TOTAL INOX</t>
  </si>
  <si>
    <t>8R10053</t>
  </si>
  <si>
    <t>STE MECHERGUI D'EQUIP. AUTOS</t>
  </si>
  <si>
    <t>00000485</t>
  </si>
  <si>
    <t>0000386</t>
  </si>
  <si>
    <t>HAMIDA SHILI</t>
  </si>
  <si>
    <t>4R14039</t>
  </si>
  <si>
    <t>STE.MAGHR. DE PIECES DE RECH</t>
  </si>
  <si>
    <t>4R12104</t>
  </si>
  <si>
    <t>1R04121</t>
  </si>
  <si>
    <t>FN190076</t>
  </si>
  <si>
    <t xml:space="preserve">TOTAL </t>
  </si>
  <si>
    <t>6R21181</t>
  </si>
  <si>
    <t>Echeance</t>
  </si>
  <si>
    <t>1R01217</t>
  </si>
  <si>
    <t>1R02282</t>
  </si>
  <si>
    <t>1R03169</t>
  </si>
  <si>
    <t>1R01386</t>
  </si>
  <si>
    <t>1R05184</t>
  </si>
  <si>
    <t>MOHAMED BOUAZIZ</t>
  </si>
  <si>
    <t>3R18329</t>
  </si>
  <si>
    <t>KHENFIR MOHAMED LAMJED</t>
  </si>
  <si>
    <t>3R18133</t>
  </si>
  <si>
    <t>FN190089</t>
  </si>
  <si>
    <t>00007714</t>
  </si>
  <si>
    <t>0006419</t>
  </si>
  <si>
    <t>TOP RECOUVREMENT</t>
  </si>
  <si>
    <t>JOUINI AUTO " J A "</t>
  </si>
  <si>
    <t>ABDELKARIM CHEBBI</t>
  </si>
  <si>
    <t>S. T. E. G.</t>
  </si>
  <si>
    <t>1R05042</t>
  </si>
  <si>
    <t>FN190091</t>
  </si>
  <si>
    <t>1R05211</t>
  </si>
  <si>
    <t>1R03124</t>
  </si>
  <si>
    <t>00013929</t>
  </si>
  <si>
    <t>0005094</t>
  </si>
  <si>
    <t>STE BEN MASSOUD FRERES</t>
  </si>
  <si>
    <t>8R08040</t>
  </si>
  <si>
    <t>STE MARIEM AGRICOLE</t>
  </si>
  <si>
    <t>STE GALAXY DE SRVICES</t>
  </si>
  <si>
    <t>Total 03/2020</t>
  </si>
  <si>
    <t>Total 04/2020</t>
  </si>
  <si>
    <t>Total 06/2020</t>
  </si>
  <si>
    <t>Total 07/2020</t>
  </si>
  <si>
    <t>I Z</t>
  </si>
  <si>
    <t>00007804</t>
  </si>
  <si>
    <t>0006464</t>
  </si>
  <si>
    <t>1R05071</t>
  </si>
  <si>
    <t>SITUATION HAZEM 2020</t>
  </si>
  <si>
    <t>1R02193</t>
  </si>
  <si>
    <t>Sorfin</t>
  </si>
  <si>
    <t>4R13145</t>
  </si>
  <si>
    <t>STE BEN MARIEM AUTO</t>
  </si>
  <si>
    <t>4R12261</t>
  </si>
  <si>
    <t>1R01551</t>
  </si>
  <si>
    <t>00013978</t>
  </si>
  <si>
    <t>0005146</t>
  </si>
  <si>
    <t>SMART SECURITY</t>
  </si>
  <si>
    <t>CRASSE</t>
  </si>
  <si>
    <t>STE AUTO PLUS</t>
  </si>
  <si>
    <t>3R18420</t>
  </si>
  <si>
    <t>STE GOMRI FRERES DE PIECES</t>
  </si>
  <si>
    <t>3R15036</t>
  </si>
  <si>
    <t>00007955</t>
  </si>
  <si>
    <t>0007329</t>
  </si>
  <si>
    <t>MICROPOROUS</t>
  </si>
  <si>
    <t>SOCIETE GENERAL DE PIECES</t>
  </si>
  <si>
    <t>3R18321</t>
  </si>
  <si>
    <t>1R05034</t>
  </si>
  <si>
    <t>NAIM BERRICH</t>
  </si>
  <si>
    <t>ESSAIED SALAH</t>
  </si>
  <si>
    <t>1R02097</t>
  </si>
  <si>
    <t>RHIM CHEDLY</t>
  </si>
  <si>
    <t>METACONCEPT</t>
  </si>
  <si>
    <t>FBI</t>
  </si>
  <si>
    <t>FN200025</t>
  </si>
  <si>
    <t>FP200006</t>
  </si>
  <si>
    <t>LYS IMPRESSION</t>
  </si>
  <si>
    <t>PROSID</t>
  </si>
  <si>
    <t>FIRST AUTOMOTIVE</t>
  </si>
  <si>
    <t>1R03182</t>
  </si>
  <si>
    <t>1R04155</t>
  </si>
  <si>
    <t>1R04105</t>
  </si>
  <si>
    <t>1R02287</t>
  </si>
  <si>
    <t>1R06125</t>
  </si>
  <si>
    <t>3R18337</t>
  </si>
  <si>
    <t>00014054</t>
  </si>
  <si>
    <t>TR01264</t>
  </si>
  <si>
    <t>TUNIMATEC</t>
  </si>
  <si>
    <t>STE COMPTOIR PCES RCHGS+ELEC</t>
  </si>
  <si>
    <t>STE COGEP AUTO</t>
  </si>
  <si>
    <t>3R18039</t>
  </si>
  <si>
    <t>3R18380</t>
  </si>
  <si>
    <t>KHROUF BAGHDADI B BOULBABA</t>
  </si>
  <si>
    <t>HASSEN BEN BELGACEM  DABBABI</t>
  </si>
  <si>
    <t>STE NEFZAWA EQUIPS GENERALE</t>
  </si>
  <si>
    <t>7R22044</t>
  </si>
  <si>
    <t>STE BEN BRAHIM  " SBB "</t>
  </si>
  <si>
    <t>8R11093</t>
  </si>
  <si>
    <t>YACOUBI BEN MOULDI EL ABED</t>
  </si>
  <si>
    <t>7R19018</t>
  </si>
  <si>
    <t>1R04156</t>
  </si>
  <si>
    <t>CHIBANI BEN SALEM TAYEB</t>
  </si>
  <si>
    <t>1R02211</t>
  </si>
  <si>
    <t>ELHADHBA BT MED EL ZAIDI</t>
  </si>
  <si>
    <t>8R08050</t>
  </si>
  <si>
    <t>STE AL BARAKA EQUIP.GENERALE</t>
  </si>
  <si>
    <t>7R22039</t>
  </si>
  <si>
    <t>ELINOIL</t>
  </si>
  <si>
    <t>PAYEE PAR TOM</t>
  </si>
  <si>
    <t>ESSAFI AUTO</t>
  </si>
  <si>
    <t>1R01161</t>
  </si>
  <si>
    <t>OMEGA PIECES</t>
  </si>
  <si>
    <t>1R04157</t>
  </si>
  <si>
    <t>1R01584</t>
  </si>
  <si>
    <t>MATHLOUTHI WALID B ABDLWAHEB</t>
  </si>
  <si>
    <t>4R14077</t>
  </si>
  <si>
    <t>BAAZAOUI SALAH</t>
  </si>
  <si>
    <t>3R14079</t>
  </si>
  <si>
    <t>EQUIP. AUTOS MOKNINE</t>
  </si>
  <si>
    <t>4R13048</t>
  </si>
  <si>
    <t>STE CHIBANI COMMERCE&amp;SERVICE</t>
  </si>
  <si>
    <t>1R05055</t>
  </si>
  <si>
    <t>Fournisseurs non remis</t>
  </si>
  <si>
    <t xml:space="preserve">Fournisseurs facture </t>
  </si>
  <si>
    <t>Fournisseurs en cours de signature</t>
  </si>
  <si>
    <t>VALDEC</t>
  </si>
  <si>
    <t>NOUR</t>
  </si>
  <si>
    <t xml:space="preserve">DATE </t>
  </si>
  <si>
    <t>PAIEMENT REMIS</t>
  </si>
  <si>
    <t>FN200031</t>
  </si>
  <si>
    <t>SOKAP AUTOS</t>
  </si>
  <si>
    <t>3R18426</t>
  </si>
  <si>
    <t>1R02232</t>
  </si>
  <si>
    <t>TAHER KABOUS ROYAL AUTO</t>
  </si>
  <si>
    <t>1R05194</t>
  </si>
  <si>
    <t>6R21178</t>
  </si>
  <si>
    <t>STE.DES PIECES POIDS LOURD</t>
  </si>
  <si>
    <t>3R18077</t>
  </si>
  <si>
    <t>DOUIK PIECES AUTOS</t>
  </si>
  <si>
    <t>4R12177</t>
  </si>
  <si>
    <t>SOCIETE ZARRAD ET CIE</t>
  </si>
  <si>
    <t>4R13041</t>
  </si>
  <si>
    <t>6r21055</t>
  </si>
  <si>
    <t>6R23165</t>
  </si>
  <si>
    <t>SOCIETE CHAIBI DE CARBURANT</t>
  </si>
  <si>
    <t>ACHAT TERRAIN</t>
  </si>
  <si>
    <t>3R18382</t>
  </si>
  <si>
    <t>STE KZ PIECES AUTOS</t>
  </si>
  <si>
    <t>6R23159</t>
  </si>
  <si>
    <t>HADDAD MAKHLOUF</t>
  </si>
  <si>
    <t>1R01470</t>
  </si>
  <si>
    <t>1R05218</t>
  </si>
  <si>
    <t>RAMEH JAMILA BEN SADOK</t>
  </si>
  <si>
    <t>TVA A PAYER 14%</t>
  </si>
  <si>
    <t>Kais - STA NOUR</t>
  </si>
  <si>
    <t>DATE</t>
  </si>
  <si>
    <t>ARTICLE</t>
  </si>
  <si>
    <t>UNITE</t>
  </si>
  <si>
    <t>QUANTITE</t>
  </si>
  <si>
    <t>P ACHAT</t>
  </si>
  <si>
    <t>TOTAL HT</t>
  </si>
  <si>
    <t>TVA</t>
  </si>
  <si>
    <t>TOTAL TTC</t>
  </si>
  <si>
    <t>KAIS TAYACHI</t>
  </si>
  <si>
    <t>STE KACEM ET FRERES</t>
  </si>
  <si>
    <t>4R13147</t>
  </si>
  <si>
    <t>1R01580</t>
  </si>
  <si>
    <t>STE.GUEDRI MOHSEN ET FRERES</t>
  </si>
  <si>
    <t>1R02277</t>
  </si>
  <si>
    <t>SOCIETE EL HOUIOUI</t>
  </si>
  <si>
    <t>FN200034</t>
  </si>
  <si>
    <t>F2000039</t>
  </si>
  <si>
    <t>1R05195</t>
  </si>
  <si>
    <t>1R02225</t>
  </si>
  <si>
    <t>ABDELKADER B YOUSSEF GHARBI</t>
  </si>
  <si>
    <t>GRAJA NIZAR "GENERAL AUTO"</t>
  </si>
  <si>
    <t>4R12263</t>
  </si>
  <si>
    <t>STE PIECES AUTO NAIMA "PAN"</t>
  </si>
  <si>
    <t>1R03186</t>
  </si>
  <si>
    <t>FATHI BEN FRADJ AZOUZI</t>
  </si>
  <si>
    <t>3R18430</t>
  </si>
  <si>
    <t>FN200040</t>
  </si>
  <si>
    <t>Mahdi GUERMAZI</t>
  </si>
  <si>
    <t>00000274</t>
  </si>
  <si>
    <t>0000240</t>
  </si>
  <si>
    <t>STE DRIDI AUTO</t>
  </si>
  <si>
    <t>S P I R</t>
  </si>
  <si>
    <t>3R18411</t>
  </si>
  <si>
    <t>1R02194</t>
  </si>
  <si>
    <t>MOHAMED NACEUR ABDELLI</t>
  </si>
  <si>
    <t>AWADNI MAATOUG</t>
  </si>
  <si>
    <t>6R23139</t>
  </si>
  <si>
    <t>AVEA MAGHREB</t>
  </si>
  <si>
    <t>1R03173</t>
  </si>
  <si>
    <t>MOUHAMED GDEMME</t>
  </si>
  <si>
    <t>6R21074</t>
  </si>
  <si>
    <t>BEN SALEM MALIKA</t>
  </si>
  <si>
    <t>1R05175</t>
  </si>
  <si>
    <t>ETS. JEDIDI RIADH</t>
  </si>
  <si>
    <t>4R12147</t>
  </si>
  <si>
    <t>FN200042</t>
  </si>
  <si>
    <t>FOURNISSEURS ACHATS</t>
  </si>
  <si>
    <t>1R04150</t>
  </si>
  <si>
    <t xml:space="preserve">FOURNISSEUR </t>
  </si>
  <si>
    <t>L10200</t>
  </si>
  <si>
    <t>DECHET PLAQUE</t>
  </si>
  <si>
    <t>SELON ANALYSE</t>
  </si>
  <si>
    <t>L10162</t>
  </si>
  <si>
    <t>L10197</t>
  </si>
  <si>
    <t>TRANSPORTEUR</t>
  </si>
  <si>
    <t>HAMZI NAOUFEL</t>
  </si>
  <si>
    <t>CODE FOURNISSEUR</t>
  </si>
  <si>
    <t>L10192</t>
  </si>
  <si>
    <t>A FIXER PAR LA DIRECTION GENERAL</t>
  </si>
  <si>
    <t>1R02238</t>
  </si>
  <si>
    <t>STE FARAH</t>
  </si>
  <si>
    <t>1R01575</t>
  </si>
  <si>
    <t>STE RAMI.VNTE.PICES.RECHANGE</t>
  </si>
  <si>
    <t>SAADI ABDALLAH</t>
  </si>
  <si>
    <t>4R14030</t>
  </si>
  <si>
    <t>1R07013</t>
  </si>
  <si>
    <t>FN200045</t>
  </si>
  <si>
    <t>Africa industrie</t>
  </si>
  <si>
    <t>Devis du 19/04/2019</t>
  </si>
  <si>
    <t>Divers travaux</t>
  </si>
  <si>
    <t>PU</t>
  </si>
  <si>
    <t>Total TTC</t>
  </si>
  <si>
    <t>Quantité</t>
  </si>
  <si>
    <t>Racks</t>
  </si>
  <si>
    <t>Chariots</t>
  </si>
  <si>
    <t>Total Devis TTC</t>
  </si>
  <si>
    <t>Total Facturation TTC</t>
  </si>
  <si>
    <t>Paiement recu</t>
  </si>
  <si>
    <t>Traite 25/05/2019</t>
  </si>
  <si>
    <t>Traite 25/07/2019</t>
  </si>
  <si>
    <t>Traite 25/06/2019</t>
  </si>
  <si>
    <t>Total Paiement</t>
  </si>
  <si>
    <t>Total Ht</t>
  </si>
  <si>
    <t xml:space="preserve">Reste à facturer </t>
  </si>
  <si>
    <t>Reste à payer</t>
  </si>
  <si>
    <t xml:space="preserve">On as demandé à Monsieur Riadh d'attendre avant de facturer pour lui communiquer le libellé et la date </t>
  </si>
  <si>
    <t>Maitenant M. Riadh veut facturer tout le reste sur Inter Machine alors que le paiement est en totalite sur Africa Industrie</t>
  </si>
  <si>
    <t>1R04098</t>
  </si>
  <si>
    <t>7R17011</t>
  </si>
  <si>
    <t>AYMEN AMMAR</t>
  </si>
  <si>
    <t>3R18431</t>
  </si>
  <si>
    <t>FN200046</t>
  </si>
  <si>
    <t>FN200048</t>
  </si>
  <si>
    <t>1R01445</t>
  </si>
  <si>
    <t>NABIHA REZGUI BEN HABIB</t>
  </si>
  <si>
    <t>8R09079</t>
  </si>
  <si>
    <t>SOUHEIL TEKAYA</t>
  </si>
  <si>
    <t>HELA FERJANI NEE AJMI</t>
  </si>
  <si>
    <t>REZGUI ANIS BEN ALI BN AMARA</t>
  </si>
  <si>
    <t>8R10060</t>
  </si>
  <si>
    <t>LAJNEF SAMI BEN MOHAMED</t>
  </si>
  <si>
    <t>3R18263</t>
  </si>
  <si>
    <t>FN200049</t>
  </si>
  <si>
    <t>YUCRI</t>
  </si>
  <si>
    <t>ALIBI YASSMINA BENT FARHAT</t>
  </si>
  <si>
    <t>7R17057</t>
  </si>
  <si>
    <t>STE YOSR DE PIECES AUTOS</t>
  </si>
  <si>
    <t>HOUCINE LOUSSAIEF</t>
  </si>
  <si>
    <t>8R08023</t>
  </si>
  <si>
    <t>1r02282</t>
  </si>
  <si>
    <t>M P R- ESSID LASSAAD</t>
  </si>
  <si>
    <t>STE M W AUTO'S</t>
  </si>
  <si>
    <t>6R23151</t>
  </si>
  <si>
    <t>FN200052</t>
  </si>
  <si>
    <t>PREVISION</t>
  </si>
  <si>
    <t>CHEQUE 1</t>
  </si>
  <si>
    <t>CHEQUE 2</t>
  </si>
  <si>
    <t>CHEQUE 3</t>
  </si>
  <si>
    <t>CHEQUE 4</t>
  </si>
  <si>
    <t>CHEQUE 5</t>
  </si>
  <si>
    <t>50 EURO FRAIS STB</t>
  </si>
  <si>
    <t>AVANCE</t>
  </si>
  <si>
    <t>SOTRAPRO</t>
  </si>
  <si>
    <t>ALPHA MEDIA</t>
  </si>
  <si>
    <t>TOTAL DES TRAVAUX</t>
  </si>
  <si>
    <t>PAIEMENT ALPHA</t>
  </si>
  <si>
    <t>PAIEMENT GERANT</t>
  </si>
  <si>
    <t>VILLA</t>
  </si>
  <si>
    <t>A CONFIRMER</t>
  </si>
  <si>
    <t>PAIEMENT RECU</t>
  </si>
  <si>
    <t>NET A PAYER</t>
  </si>
  <si>
    <t>TRAITE</t>
  </si>
  <si>
    <t>CHQ 5079</t>
  </si>
  <si>
    <t>SOLDE A PAYER</t>
  </si>
  <si>
    <t>00008475</t>
  </si>
  <si>
    <t>0007512</t>
  </si>
  <si>
    <t>SAJA PURE</t>
  </si>
  <si>
    <t>STE NOUVELLE PIECES AUTO</t>
  </si>
  <si>
    <t>3R18427</t>
  </si>
  <si>
    <t>COPLOSA</t>
  </si>
  <si>
    <t>FN200054</t>
  </si>
  <si>
    <t>TOTAL TUNISIE</t>
  </si>
  <si>
    <t>EL BARAKA VENTE PIECES RECH.</t>
  </si>
  <si>
    <t>4R14047</t>
  </si>
  <si>
    <t>HICHRI MOHAMED</t>
  </si>
  <si>
    <t>STE BEN MECHRI AUTO PIECES</t>
  </si>
  <si>
    <t>8R09088</t>
  </si>
  <si>
    <t>NEJIB GADHOUM</t>
  </si>
  <si>
    <t>4R12181</t>
  </si>
  <si>
    <t>HAMZA BALBALI</t>
  </si>
  <si>
    <t>FN200055</t>
  </si>
  <si>
    <t>FN200053</t>
  </si>
  <si>
    <t>20/10/2020</t>
  </si>
  <si>
    <t>REMBOURSEMENT INTERET A L'ECHEANC</t>
  </si>
  <si>
    <t>Z0325538446</t>
  </si>
  <si>
    <t>Z0325538443</t>
  </si>
  <si>
    <t>Z0325538416</t>
  </si>
  <si>
    <t>Z0325538411</t>
  </si>
  <si>
    <t>Z0325538400</t>
  </si>
  <si>
    <t>Z0325538369</t>
  </si>
  <si>
    <t>Z0325538359</t>
  </si>
  <si>
    <t>Z0325538350</t>
  </si>
  <si>
    <t>Z0325538313</t>
  </si>
  <si>
    <t>Z0325538308</t>
  </si>
  <si>
    <t>Z0325538305</t>
  </si>
  <si>
    <t>Z0325538281</t>
  </si>
  <si>
    <t>Z0325538268</t>
  </si>
  <si>
    <t>Z0325538243</t>
  </si>
  <si>
    <t>Z0325538235</t>
  </si>
  <si>
    <t>Z0325538232</t>
  </si>
  <si>
    <t>Z0325538196</t>
  </si>
  <si>
    <t>Z0325538188</t>
  </si>
  <si>
    <t>Z0325538172</t>
  </si>
  <si>
    <t>REMBOURSEMENT PRINCIPAL A L'ECHEA</t>
  </si>
  <si>
    <t>ECART</t>
  </si>
  <si>
    <t>GOLDA GROUP</t>
  </si>
  <si>
    <t>1R04146</t>
  </si>
  <si>
    <t>FN200056</t>
  </si>
  <si>
    <t>1r02280</t>
  </si>
  <si>
    <t>STE JEBALI AGRICOLE</t>
  </si>
  <si>
    <t>7R17059</t>
  </si>
  <si>
    <t>Code Frs</t>
  </si>
  <si>
    <t>DESIGNATION</t>
  </si>
  <si>
    <t>Qté</t>
  </si>
  <si>
    <t>P.U</t>
  </si>
  <si>
    <t>MT.HT</t>
  </si>
  <si>
    <t>TVA 15%</t>
  </si>
  <si>
    <t>TVA 4%</t>
  </si>
  <si>
    <t>CRASSE DE PLOMB</t>
  </si>
  <si>
    <t>SOTRAM 2</t>
  </si>
  <si>
    <t>TVA 3%</t>
  </si>
  <si>
    <t>TVA 16%</t>
  </si>
  <si>
    <t>EXPRESS TRANSIT</t>
  </si>
  <si>
    <t>00014189</t>
  </si>
  <si>
    <t>00014188</t>
  </si>
  <si>
    <t>0005327</t>
  </si>
  <si>
    <t>0005326</t>
  </si>
  <si>
    <t>ULYSSE HYPER DISTRIBUTION</t>
  </si>
  <si>
    <t>TUNISIE TELECOM   ( FIXE )</t>
  </si>
  <si>
    <t>STE MANEL AUTO-SOMA-</t>
  </si>
  <si>
    <t>1R01389</t>
  </si>
  <si>
    <t>STE KACEM ET FILS " EC "</t>
  </si>
  <si>
    <t>1R02138</t>
  </si>
  <si>
    <t>STE BOUKHZAR SARL</t>
  </si>
  <si>
    <t>1R02082</t>
  </si>
  <si>
    <t>FN200059</t>
  </si>
  <si>
    <t>1r01456</t>
  </si>
  <si>
    <t>HOUCINE B. ABDELHAMID BOUONI</t>
  </si>
  <si>
    <t>7R19069</t>
  </si>
  <si>
    <t>1R07058</t>
  </si>
  <si>
    <t>STE GENERALE EQUIP.MARITIME</t>
  </si>
  <si>
    <t>4R13132</t>
  </si>
  <si>
    <t>STE SARRA AUTO</t>
  </si>
  <si>
    <t>4R13125</t>
  </si>
  <si>
    <t>FN200061</t>
  </si>
  <si>
    <t>ETS SALAH KOTNI 2</t>
  </si>
  <si>
    <t>6R21118</t>
  </si>
  <si>
    <t>HAKIM BEN SADOK KHEMIS</t>
  </si>
  <si>
    <t>4R12227</t>
  </si>
  <si>
    <t>STE HADJ AUTO</t>
  </si>
  <si>
    <t>1R01480</t>
  </si>
  <si>
    <t>FN200063</t>
  </si>
  <si>
    <t>R.FINANCE MEGRINE</t>
  </si>
  <si>
    <t>1r05103</t>
  </si>
  <si>
    <t>1r01517</t>
  </si>
  <si>
    <t>STE IDEALE PIECES AUTOS SIPA</t>
  </si>
  <si>
    <t>3R18367</t>
  </si>
  <si>
    <t>STE AUTO PRO</t>
  </si>
  <si>
    <t>4R15046</t>
  </si>
  <si>
    <t>JIANGHSU</t>
  </si>
  <si>
    <t xml:space="preserve">SIA </t>
  </si>
  <si>
    <t>SOLDE EXPORT</t>
  </si>
  <si>
    <t>NOUR AKKU</t>
  </si>
  <si>
    <t>FOURNISSEUR HORS EXPLOITAT.</t>
  </si>
  <si>
    <t>6r23155</t>
  </si>
  <si>
    <t>FN200068</t>
  </si>
  <si>
    <t>TVA OK</t>
  </si>
  <si>
    <t>RESTE A FACTURER HT</t>
  </si>
  <si>
    <t>ACHAT 3 MOTEUR</t>
  </si>
  <si>
    <t>RELIQUAT HT</t>
  </si>
  <si>
    <t xml:space="preserve">TVA </t>
  </si>
  <si>
    <t>TOTAL FACTURE</t>
  </si>
  <si>
    <t>FILTRE</t>
  </si>
  <si>
    <t>FN200069</t>
  </si>
  <si>
    <t>00014220</t>
  </si>
  <si>
    <t>0005354</t>
  </si>
  <si>
    <t>SOUFIANE MANNAI</t>
  </si>
  <si>
    <t>SOCIETE RECTIF</t>
  </si>
  <si>
    <t>1R05200</t>
  </si>
  <si>
    <t>CARREFOUR BATTERIES</t>
  </si>
  <si>
    <t>1R02289</t>
  </si>
  <si>
    <t>00014229</t>
  </si>
  <si>
    <t>VI</t>
  </si>
  <si>
    <t>VI00272</t>
  </si>
  <si>
    <t>STE QUALITY SPARE PARTS</t>
  </si>
  <si>
    <t>1R02298</t>
  </si>
  <si>
    <t>FN200067</t>
  </si>
  <si>
    <t>FATMA KTATA ( ETS EHK )</t>
  </si>
  <si>
    <t>3R18434</t>
  </si>
  <si>
    <t>STE LIZIDI ACCESSOIRES AUTOS</t>
  </si>
  <si>
    <t>4R15060</t>
  </si>
  <si>
    <t>STE AL HAMD PIECE AUTO</t>
  </si>
  <si>
    <t>4R15058</t>
  </si>
  <si>
    <t>STE SOCOFA</t>
  </si>
  <si>
    <t>1r02148</t>
  </si>
  <si>
    <t>STE CIPA</t>
  </si>
  <si>
    <t>4R12262</t>
  </si>
  <si>
    <t>BATTERIE USAGE</t>
  </si>
  <si>
    <t>RESTE A SOLDER</t>
  </si>
  <si>
    <t>BATTERIES USAGE</t>
  </si>
  <si>
    <t>00008771</t>
  </si>
  <si>
    <t>0007673</t>
  </si>
  <si>
    <t>ECHEANCIER 2021</t>
  </si>
  <si>
    <t>Total 01/2021</t>
  </si>
  <si>
    <t>Total 03/2021</t>
  </si>
  <si>
    <t>Total 04/2021</t>
  </si>
  <si>
    <t>Total 06/2021</t>
  </si>
  <si>
    <t>Total 07/2021</t>
  </si>
  <si>
    <t>Total 09/2021</t>
  </si>
  <si>
    <t>Total 10/2021</t>
  </si>
  <si>
    <t>Total 12/2021</t>
  </si>
  <si>
    <t>STB Meg</t>
  </si>
  <si>
    <t>TOTAL 2021</t>
  </si>
  <si>
    <t>KABBOUBI</t>
  </si>
  <si>
    <t>SAMI BEN EZZEDINE B ABDALLAH</t>
  </si>
  <si>
    <t>1R05187</t>
  </si>
  <si>
    <t>MISSAOUI RIBEH BENT ARBI</t>
  </si>
  <si>
    <t>6R23118</t>
  </si>
  <si>
    <t>STE ARFA AUTO PLUS</t>
  </si>
  <si>
    <t>1R02231</t>
  </si>
  <si>
    <t>MEJRI DE PNEUMATIQUE "SMP"</t>
  </si>
  <si>
    <t>TOTAL 06/2021</t>
  </si>
  <si>
    <t>FN210001</t>
  </si>
  <si>
    <t>FN210002</t>
  </si>
  <si>
    <t>LINA METAL</t>
  </si>
  <si>
    <t>00008802</t>
  </si>
  <si>
    <t>0007688</t>
  </si>
  <si>
    <t>CLIENT PASSAGER ASJ</t>
  </si>
  <si>
    <t>1X01000</t>
  </si>
  <si>
    <t>1R06149</t>
  </si>
  <si>
    <t>00014271</t>
  </si>
  <si>
    <t>00014270</t>
  </si>
  <si>
    <t>0005391</t>
  </si>
  <si>
    <t>0005390</t>
  </si>
  <si>
    <t>CHQ AVANCE HAKIM</t>
  </si>
  <si>
    <t>CHQ AVANCE KAIS</t>
  </si>
  <si>
    <t>00000563</t>
  </si>
  <si>
    <t>0000413</t>
  </si>
  <si>
    <t>FN210004</t>
  </si>
  <si>
    <t>STE ESPACE.ARTS.DECOR.FER</t>
  </si>
  <si>
    <t>6R21155</t>
  </si>
  <si>
    <t>3R18393</t>
  </si>
  <si>
    <t>STE M'NEJJA PIECES</t>
  </si>
  <si>
    <t>6R24016</t>
  </si>
  <si>
    <t>1R05209</t>
  </si>
  <si>
    <t>6R21188</t>
  </si>
  <si>
    <t>KAYAL MAHER BEN MOHAMED</t>
  </si>
  <si>
    <t>1R05159</t>
  </si>
  <si>
    <t>1R03192</t>
  </si>
  <si>
    <t>STE ROULEMENT SUD</t>
  </si>
  <si>
    <t>1R07047</t>
  </si>
  <si>
    <t>FN210007</t>
  </si>
  <si>
    <t>00014299</t>
  </si>
  <si>
    <t>0005418</t>
  </si>
  <si>
    <t>TVA PAYE</t>
  </si>
  <si>
    <t>RIAHI TAREK B HMIDA B MED</t>
  </si>
  <si>
    <t>1R03157</t>
  </si>
  <si>
    <t>MEJDI NAJET BENT IBRAHIM</t>
  </si>
  <si>
    <t>7R19070</t>
  </si>
  <si>
    <t>1R04120</t>
  </si>
  <si>
    <t>1R04138</t>
  </si>
  <si>
    <t>NADER.COMRC.INTERNATIONALE</t>
  </si>
  <si>
    <t>4R12274</t>
  </si>
  <si>
    <t>KHELIFA BEN TAIEB</t>
  </si>
  <si>
    <t>MARWEN BEN MED BEN HLIMA</t>
  </si>
  <si>
    <t>4R13152</t>
  </si>
  <si>
    <t>STE YASSINE PETROLIUM</t>
  </si>
  <si>
    <t>4R15035</t>
  </si>
  <si>
    <t>TOTAL 07/2021</t>
  </si>
  <si>
    <t>00008880</t>
  </si>
  <si>
    <t>00008906</t>
  </si>
  <si>
    <t>0007729</t>
  </si>
  <si>
    <t>0007743</t>
  </si>
  <si>
    <t>STE NOORTEX</t>
  </si>
  <si>
    <t>1r01551</t>
  </si>
  <si>
    <t>MEHREZ BEN MOHAMED GUIZANI</t>
  </si>
  <si>
    <t>4R14056</t>
  </si>
  <si>
    <t>MOHAMED AYOUB TOUNSI</t>
  </si>
  <si>
    <t>3R18436</t>
  </si>
  <si>
    <t>1R03189</t>
  </si>
  <si>
    <t>1R05181</t>
  </si>
  <si>
    <t>1R06038</t>
  </si>
  <si>
    <t>1R03149</t>
  </si>
  <si>
    <t>STE AMEN CAR DU CENTRE</t>
  </si>
  <si>
    <t>4R14081</t>
  </si>
  <si>
    <t>STE ELECTRO-MECANIQUE</t>
  </si>
  <si>
    <t>1R04055</t>
  </si>
  <si>
    <t>ACCUMA 04</t>
  </si>
  <si>
    <t>SOVEMA 01</t>
  </si>
  <si>
    <t>VR 30 J</t>
  </si>
  <si>
    <t>AMETEK</t>
  </si>
  <si>
    <t>A L'AVANCE</t>
  </si>
  <si>
    <t>MANUTAN</t>
  </si>
  <si>
    <t>CNY</t>
  </si>
  <si>
    <t>L C</t>
  </si>
  <si>
    <t>1r02238</t>
  </si>
  <si>
    <t>1R05217</t>
  </si>
  <si>
    <t>1R06161</t>
  </si>
  <si>
    <t>6r21118</t>
  </si>
  <si>
    <t>1R02148</t>
  </si>
  <si>
    <t>1R02294</t>
  </si>
  <si>
    <t>SO.CO.PI</t>
  </si>
  <si>
    <t>AMENI DES PIECES DETACHEES</t>
  </si>
  <si>
    <t>1R01564</t>
  </si>
  <si>
    <t>STE SOGESA PLUS</t>
  </si>
  <si>
    <t>1R03191</t>
  </si>
  <si>
    <t>1R02241</t>
  </si>
  <si>
    <t>FN210009</t>
  </si>
  <si>
    <t>FN210010</t>
  </si>
  <si>
    <t>GERMENT</t>
  </si>
  <si>
    <t>LC</t>
  </si>
  <si>
    <t>00008939</t>
  </si>
  <si>
    <t>0007761</t>
  </si>
  <si>
    <t>SIB KCHAOU</t>
  </si>
  <si>
    <t>00014331</t>
  </si>
  <si>
    <t>0005444</t>
  </si>
  <si>
    <t>STG</t>
  </si>
  <si>
    <t>2RE</t>
  </si>
  <si>
    <t>00014338</t>
  </si>
  <si>
    <t>0005451</t>
  </si>
  <si>
    <t>YAAKOUBI SAIDA</t>
  </si>
  <si>
    <t>1r02297</t>
  </si>
  <si>
    <t>6r21178</t>
  </si>
  <si>
    <t>STE DITRI-FILTRE</t>
  </si>
  <si>
    <t>1R01456</t>
  </si>
  <si>
    <t>1R02270</t>
  </si>
  <si>
    <t>STE BEN AISSA AUTO</t>
  </si>
  <si>
    <t>4R13149</t>
  </si>
  <si>
    <t>1R05210</t>
  </si>
  <si>
    <t>STE TRANSPORT ET MANUTENTION</t>
  </si>
  <si>
    <t>1R01562</t>
  </si>
  <si>
    <t>STE COMPTOIR MARITINE DJERBA</t>
  </si>
  <si>
    <t>6R23167</t>
  </si>
  <si>
    <t>TOTAL 08/2021</t>
  </si>
  <si>
    <t>FN210014</t>
  </si>
  <si>
    <t>FN210015</t>
  </si>
  <si>
    <t>RESTE 1 254,669</t>
  </si>
  <si>
    <t>00014348</t>
  </si>
  <si>
    <t>0005462</t>
  </si>
  <si>
    <t>00008975</t>
  </si>
  <si>
    <t>00008973</t>
  </si>
  <si>
    <t>00008979</t>
  </si>
  <si>
    <t>0007780</t>
  </si>
  <si>
    <t>0007778</t>
  </si>
  <si>
    <t>0007783</t>
  </si>
  <si>
    <t>FOURN ACHATS COMPTANT</t>
  </si>
  <si>
    <t xml:space="preserve">Ma羡re  Nabil dabboussi      </t>
  </si>
  <si>
    <t>CERI TUNISIE</t>
  </si>
  <si>
    <t>1S01243</t>
  </si>
  <si>
    <t>1r06020</t>
  </si>
  <si>
    <t>1R01518</t>
  </si>
  <si>
    <t>1r02097</t>
  </si>
  <si>
    <t>7r19069</t>
  </si>
  <si>
    <t>1R01548</t>
  </si>
  <si>
    <t>1r05042</t>
  </si>
  <si>
    <t>1r02141</t>
  </si>
  <si>
    <t>1r02264</t>
  </si>
  <si>
    <t>7r16012</t>
  </si>
  <si>
    <t>6r21179</t>
  </si>
  <si>
    <t>STATION DE SERVICE SHELL</t>
  </si>
  <si>
    <t>1R07043</t>
  </si>
  <si>
    <t>1R02247</t>
  </si>
  <si>
    <t>MOHAMMED BEN NOURI MSAKNI</t>
  </si>
  <si>
    <t>3R18353</t>
  </si>
  <si>
    <t>STE LA RECHANGE AUTOMOBILE</t>
  </si>
  <si>
    <t>6R21162</t>
  </si>
  <si>
    <t>MOHAMED BEN SALAH BENHASSEN</t>
  </si>
  <si>
    <t>6R21144</t>
  </si>
  <si>
    <t>TOTAL 09/2021</t>
  </si>
  <si>
    <t>ACCUMA 05</t>
  </si>
  <si>
    <t>AKUMSAN</t>
  </si>
  <si>
    <t>1R07041</t>
  </si>
  <si>
    <t>3r18411</t>
  </si>
  <si>
    <t>STE GLOBALE BATTERIES DAOUDI</t>
  </si>
  <si>
    <t>NOUR GENERAL AUTOS</t>
  </si>
  <si>
    <t>3R18437</t>
  </si>
  <si>
    <t>PLAQUES</t>
  </si>
  <si>
    <t>P U</t>
  </si>
  <si>
    <t>WUXI HUANFA</t>
  </si>
  <si>
    <t>NANJIN YAT</t>
  </si>
  <si>
    <t>ooredoo</t>
  </si>
  <si>
    <t>00014366</t>
  </si>
  <si>
    <t>0005478</t>
  </si>
  <si>
    <t>MAGHRBIA IMMOBILIERE</t>
  </si>
  <si>
    <t>00009037</t>
  </si>
  <si>
    <t>00009035</t>
  </si>
  <si>
    <t>0007805</t>
  </si>
  <si>
    <t>0007803</t>
  </si>
  <si>
    <t>HAKIM</t>
  </si>
  <si>
    <t>HABIB KHECHAREM</t>
  </si>
  <si>
    <t>3R18287</t>
  </si>
  <si>
    <t>STE BOUAOUAJA PCES .RECHANGE</t>
  </si>
  <si>
    <t>6R23168</t>
  </si>
  <si>
    <t>1R01517</t>
  </si>
  <si>
    <t>1r02289</t>
  </si>
  <si>
    <t>BEN DKHIL FREDJ BEN HASSAN</t>
  </si>
  <si>
    <t>4R12279</t>
  </si>
  <si>
    <t>STE CAP  AUTO PIECES SA</t>
  </si>
  <si>
    <t>1R05228</t>
  </si>
  <si>
    <t>STE MATEUR QUINC [SOGEMAQ]</t>
  </si>
  <si>
    <t>1r02083</t>
  </si>
  <si>
    <t>ILYES MZABI</t>
  </si>
  <si>
    <t>4R12271</t>
  </si>
  <si>
    <t>SOCIETE HNIA</t>
  </si>
  <si>
    <t>1R03131</t>
  </si>
  <si>
    <t>FN210017</t>
  </si>
  <si>
    <t>FN210020</t>
  </si>
  <si>
    <t>ABDELMAJID BEN HASSEN AMIRI</t>
  </si>
  <si>
    <t>8R06002</t>
  </si>
  <si>
    <t>1r01492</t>
  </si>
  <si>
    <t>1R01540</t>
  </si>
  <si>
    <t>SAMI GALLAS</t>
  </si>
  <si>
    <t>4R12278</t>
  </si>
  <si>
    <t>6r23144</t>
  </si>
  <si>
    <t>6s21018</t>
  </si>
  <si>
    <t>1r01601</t>
  </si>
  <si>
    <t>1R07002</t>
  </si>
  <si>
    <t>FN210006</t>
  </si>
  <si>
    <t>FN210021</t>
  </si>
  <si>
    <t>FN210022</t>
  </si>
  <si>
    <t>FIXNGO</t>
  </si>
  <si>
    <t>SKANDER MABROUK</t>
  </si>
  <si>
    <t>4R12196</t>
  </si>
  <si>
    <t>YOSR BEN ABDELKADER SLIM</t>
  </si>
  <si>
    <t>4R15019</t>
  </si>
  <si>
    <t>7R16012</t>
  </si>
  <si>
    <t>AOUADI MOHAMED BEN CHAOUKI</t>
  </si>
  <si>
    <t>8R09081</t>
  </si>
  <si>
    <t>6r23153</t>
  </si>
  <si>
    <t>ATECH RENT CAR</t>
  </si>
  <si>
    <t>1S02207</t>
  </si>
  <si>
    <t>STE DOGHRI AL BARAKA</t>
  </si>
  <si>
    <t>1R02237</t>
  </si>
  <si>
    <t>SORECOM</t>
  </si>
  <si>
    <t>6R23174</t>
  </si>
  <si>
    <t>STE LARMA</t>
  </si>
  <si>
    <t>4R15051</t>
  </si>
  <si>
    <t>SOCIETE ENNAJI</t>
  </si>
  <si>
    <t>1R04110</t>
  </si>
  <si>
    <t>STE FRIKHA PIECES AUTO</t>
  </si>
  <si>
    <t>3R18358</t>
  </si>
  <si>
    <t>KALLEL LASSAAD</t>
  </si>
  <si>
    <t>3R18111</t>
  </si>
  <si>
    <t>ACCUMA 06</t>
  </si>
  <si>
    <t>ACCUMA 07</t>
  </si>
  <si>
    <t>ACCUMA 08</t>
  </si>
  <si>
    <t>3r15038</t>
  </si>
  <si>
    <t>1r01010</t>
  </si>
  <si>
    <t>1R05214</t>
  </si>
  <si>
    <t>STE. MODERNE AUTO</t>
  </si>
  <si>
    <t>1R02031</t>
  </si>
  <si>
    <t>4R12252</t>
  </si>
  <si>
    <t>1r01389</t>
  </si>
  <si>
    <t>RACHED BEN BRAHIM MAMMACHA</t>
  </si>
  <si>
    <t>7R20003</t>
  </si>
  <si>
    <t>STE ALHADITHA DE PIECES AUTO</t>
  </si>
  <si>
    <t>6R21187</t>
  </si>
  <si>
    <t>LAJNAF SALHA</t>
  </si>
  <si>
    <t>1r01573</t>
  </si>
  <si>
    <t>STE HAMI AUTO</t>
  </si>
  <si>
    <t>1R05188</t>
  </si>
  <si>
    <t>ELLOUZE RAJA</t>
  </si>
  <si>
    <t>1R03134</t>
  </si>
  <si>
    <t>1r04150</t>
  </si>
  <si>
    <t>STE KRIAA GENERALE PIECES</t>
  </si>
  <si>
    <t>3R18368</t>
  </si>
  <si>
    <t>1R02150</t>
  </si>
  <si>
    <t>STE IDRISS</t>
  </si>
  <si>
    <t>1r04160</t>
  </si>
  <si>
    <t>STE FIX-N-GO</t>
  </si>
  <si>
    <t>1s01255</t>
  </si>
  <si>
    <t>MAISON ROULT &amp; PNEU.</t>
  </si>
  <si>
    <t>1r01132</t>
  </si>
  <si>
    <t>STE ELWASAT</t>
  </si>
  <si>
    <t>3R15047</t>
  </si>
  <si>
    <t>SOCIETE TUNISIE TRAVAUX</t>
  </si>
  <si>
    <t>1S02185</t>
  </si>
  <si>
    <t>SOCIETE DRIDI AUTO (SDA)</t>
  </si>
  <si>
    <t>1R02174</t>
  </si>
  <si>
    <t>00014384</t>
  </si>
  <si>
    <t>TR01276</t>
  </si>
  <si>
    <t>00009100</t>
  </si>
  <si>
    <t>00009103</t>
  </si>
  <si>
    <t>0007838</t>
  </si>
  <si>
    <t>0007841</t>
  </si>
  <si>
    <t>STB Zriba</t>
  </si>
  <si>
    <t>STE PNEUS&amp;SERVICES TECHNIQUE</t>
  </si>
  <si>
    <t>1R01592</t>
  </si>
  <si>
    <t>FLAH AMINALLAH</t>
  </si>
  <si>
    <t>6R21183</t>
  </si>
  <si>
    <t>STE FREE RENT A CAR</t>
  </si>
  <si>
    <t>1R02278</t>
  </si>
  <si>
    <t>STE  BEN TALEB PIECES AUTOS</t>
  </si>
  <si>
    <t>1R03100</t>
  </si>
  <si>
    <t>STE.CARRIERE B.M'BAREK &amp;CIE</t>
  </si>
  <si>
    <t>1S01117</t>
  </si>
  <si>
    <t>6r21175</t>
  </si>
  <si>
    <t>MONDIAL BATTERIES</t>
  </si>
  <si>
    <t>1R02295</t>
  </si>
  <si>
    <t>GUIZANI FETHI</t>
  </si>
  <si>
    <t>1R01050</t>
  </si>
  <si>
    <t>NAILA BEN AHMED JEMAI</t>
  </si>
  <si>
    <t>1R06126</t>
  </si>
  <si>
    <t>STE BEN AMOR AUTO</t>
  </si>
  <si>
    <t>1R02248</t>
  </si>
  <si>
    <t>NOUREDDINE CHENIB</t>
  </si>
  <si>
    <t>1R02173</t>
  </si>
  <si>
    <t>UTCI</t>
  </si>
  <si>
    <t>ACCUMA 09</t>
  </si>
  <si>
    <t>ACCUMA 10</t>
  </si>
  <si>
    <t>ACCUMA 11</t>
  </si>
  <si>
    <t>ACCUMA 12</t>
  </si>
  <si>
    <t>ACCUMA 13</t>
  </si>
  <si>
    <t>MICROPOROUS 03</t>
  </si>
  <si>
    <t>MICROPOROUS 04</t>
  </si>
  <si>
    <t>SORFIN</t>
  </si>
  <si>
    <t>GBP</t>
  </si>
  <si>
    <t>GOONVEAN</t>
  </si>
  <si>
    <t>YUCRY</t>
  </si>
  <si>
    <t>00014390</t>
  </si>
  <si>
    <t>0005498</t>
  </si>
  <si>
    <t>00009133</t>
  </si>
  <si>
    <t>00009138</t>
  </si>
  <si>
    <t>00009132</t>
  </si>
  <si>
    <t>00009137</t>
  </si>
  <si>
    <t>0007852</t>
  </si>
  <si>
    <t>0007857</t>
  </si>
  <si>
    <t>0007851</t>
  </si>
  <si>
    <t>0007856</t>
  </si>
  <si>
    <t>SO.M.E.G</t>
  </si>
  <si>
    <t>7R19081</t>
  </si>
  <si>
    <t>1R09022</t>
  </si>
  <si>
    <t>STE CYRINE DRIME CAR</t>
  </si>
  <si>
    <t>1R03109</t>
  </si>
  <si>
    <t>SOGEMCO</t>
  </si>
  <si>
    <t>7R19060</t>
  </si>
  <si>
    <t>STE CHERIF ELECTRICITE AUTO</t>
  </si>
  <si>
    <t>1R05206</t>
  </si>
  <si>
    <t>1R01492</t>
  </si>
  <si>
    <t>AYMEN BEN EZZEDDINE DAOUDI</t>
  </si>
  <si>
    <t>1R02201</t>
  </si>
  <si>
    <t>OUERFELLI IMEDEDDINE B.SALAH</t>
  </si>
  <si>
    <t>8R11098</t>
  </si>
  <si>
    <t>STE  K M P R</t>
  </si>
  <si>
    <t>4R13154</t>
  </si>
  <si>
    <t>STE ALHAYET PARTS</t>
  </si>
  <si>
    <t>8R08047</t>
  </si>
  <si>
    <t>6R21175</t>
  </si>
  <si>
    <t>SMART CAR SERVICES</t>
  </si>
  <si>
    <t>4R13151</t>
  </si>
  <si>
    <t>1R03176</t>
  </si>
  <si>
    <t>ELAYEB SALEM BEN MUSTAPHA</t>
  </si>
  <si>
    <t>3R15040</t>
  </si>
  <si>
    <t>STE IDEAL  MOTEUR</t>
  </si>
  <si>
    <t>4R13142</t>
  </si>
  <si>
    <t>STE OULED SASSI</t>
  </si>
  <si>
    <t>4R13155</t>
  </si>
  <si>
    <t>STE BODO BETON</t>
  </si>
  <si>
    <t>1S01311</t>
  </si>
  <si>
    <t>STE ALLO MECANO</t>
  </si>
  <si>
    <t>1R01581</t>
  </si>
  <si>
    <t>STE RAWCHEM AUTO PARTS</t>
  </si>
  <si>
    <t>1R05231</t>
  </si>
  <si>
    <t>STE FIAT AUTO PIECES [ FAP ]</t>
  </si>
  <si>
    <t>3R18352</t>
  </si>
  <si>
    <t>BEDOUI MONGI BEN SALEM</t>
  </si>
  <si>
    <t>3R15005</t>
  </si>
  <si>
    <t>ESPADON CONCEPT</t>
  </si>
  <si>
    <t>1S05017</t>
  </si>
  <si>
    <t>3r18053</t>
  </si>
  <si>
    <t>SOCIETE SAFIR</t>
  </si>
  <si>
    <t>1S02193</t>
  </si>
  <si>
    <t>HAZEM HAMMOUDA</t>
  </si>
  <si>
    <t>3R15048</t>
  </si>
  <si>
    <t>ALI LAYOUNI- STATION SHELL</t>
  </si>
  <si>
    <t>4R12138</t>
  </si>
  <si>
    <t>TOTAL 10/2021</t>
  </si>
  <si>
    <t>MARSA BATTERIES</t>
  </si>
  <si>
    <t>1R01579</t>
  </si>
  <si>
    <t>SOCIETE MANNAI BATIMENT</t>
  </si>
  <si>
    <t>4R13028</t>
  </si>
  <si>
    <t>JAADI MONCEF</t>
  </si>
  <si>
    <t>4R14029</t>
  </si>
  <si>
    <t>GENERALE PIECES AUTO"GPA"</t>
  </si>
  <si>
    <t>3R18345</t>
  </si>
  <si>
    <t>STE CPF SALLEMI</t>
  </si>
  <si>
    <t>3R18439</t>
  </si>
  <si>
    <t>SFAX TECH. AUTO-CHARFEDINE</t>
  </si>
  <si>
    <t>3R18042</t>
  </si>
  <si>
    <t>S. BADREDDINE CHERIF &amp; CIES</t>
  </si>
  <si>
    <t>3R18097</t>
  </si>
  <si>
    <t>EL FAIDI MOHAMED NIZAR</t>
  </si>
  <si>
    <t>1R04062</t>
  </si>
  <si>
    <t>UNIVERS ELECT.AUTOS HOSNI</t>
  </si>
  <si>
    <t>1R04158</t>
  </si>
  <si>
    <t>ETABLISSEMENT DABOUSSI</t>
  </si>
  <si>
    <t>1R01481</t>
  </si>
  <si>
    <t>FN210027</t>
  </si>
  <si>
    <t>FN210028</t>
  </si>
  <si>
    <t>FN210018</t>
  </si>
  <si>
    <t>TECHNO FILM</t>
  </si>
  <si>
    <t>RECETTE DES FINANCES</t>
  </si>
  <si>
    <t>00000583</t>
  </si>
  <si>
    <t>VI00113</t>
  </si>
  <si>
    <t>VI00100</t>
  </si>
  <si>
    <t>00000285</t>
  </si>
  <si>
    <t>VI00019</t>
  </si>
  <si>
    <t>00009165</t>
  </si>
  <si>
    <t>00009152</t>
  </si>
  <si>
    <t>00009163</t>
  </si>
  <si>
    <t>00009160</t>
  </si>
  <si>
    <t>00009162</t>
  </si>
  <si>
    <t>00009161</t>
  </si>
  <si>
    <t>0007869</t>
  </si>
  <si>
    <t>0007862</t>
  </si>
  <si>
    <t>0007867</t>
  </si>
  <si>
    <t>0007864</t>
  </si>
  <si>
    <t>0007866</t>
  </si>
  <si>
    <t>0007865</t>
  </si>
  <si>
    <t>JEBALI HAMED</t>
  </si>
  <si>
    <t>ETS CHENIB PIECES AUTOS</t>
  </si>
  <si>
    <t>JENDOUBA</t>
  </si>
  <si>
    <t>3r18412</t>
  </si>
  <si>
    <t>STE IRADA PIECES AUTOS</t>
  </si>
  <si>
    <t>1R02300</t>
  </si>
  <si>
    <t>EQUIPEMENT VOITURES    [EVE]</t>
  </si>
  <si>
    <t>1R01460</t>
  </si>
  <si>
    <t>1R01601</t>
  </si>
  <si>
    <t>STE MECHERGUI EZZEDINE P.AUT</t>
  </si>
  <si>
    <t>8R10059</t>
  </si>
  <si>
    <t>STE ASIE AUTOMOBILE SERVICES</t>
  </si>
  <si>
    <t>1R05208</t>
  </si>
  <si>
    <t>1R01573</t>
  </si>
  <si>
    <t>3r18396</t>
  </si>
  <si>
    <t>6r21145</t>
  </si>
  <si>
    <t>KHOULOUD EXPRESS</t>
  </si>
  <si>
    <t>1R01596</t>
  </si>
  <si>
    <t>3r18426</t>
  </si>
  <si>
    <t>STE AUTO SERVICE PLUS</t>
  </si>
  <si>
    <t>1R03118</t>
  </si>
  <si>
    <t>6R23144</t>
  </si>
  <si>
    <t>1R04144</t>
  </si>
  <si>
    <t>SOGEPIA</t>
  </si>
  <si>
    <t>1R01595</t>
  </si>
  <si>
    <t>1R12001</t>
  </si>
  <si>
    <t>STE COMPTOIR AGRICOLE.NORD</t>
  </si>
  <si>
    <t>8R11102</t>
  </si>
  <si>
    <t>CHAABANE BADREDDINE B.MED</t>
  </si>
  <si>
    <t>7R19080</t>
  </si>
  <si>
    <t>STE TIME</t>
  </si>
  <si>
    <t>1S01209</t>
  </si>
  <si>
    <t>AGILI PIECES DETACHEES</t>
  </si>
  <si>
    <t>1R02254</t>
  </si>
  <si>
    <t>STE SPARE PARTS SAHNOUN &amp; CO</t>
  </si>
  <si>
    <t>1R02299</t>
  </si>
  <si>
    <t>T U N I C O M</t>
  </si>
  <si>
    <t>1s02063</t>
  </si>
  <si>
    <t>SOCIETE C P R A</t>
  </si>
  <si>
    <t>3R18410</t>
  </si>
  <si>
    <t>MOHAMED GUIZA</t>
  </si>
  <si>
    <t>6R21045</t>
  </si>
  <si>
    <t>HAOUARI CHOKRI</t>
  </si>
  <si>
    <t>6R23143</t>
  </si>
  <si>
    <t>CHOKRI KSIKSI</t>
  </si>
  <si>
    <t>6R23081</t>
  </si>
  <si>
    <t>JAMEL BEN HEDI BEN KHSIB</t>
  </si>
  <si>
    <t>1R07048</t>
  </si>
  <si>
    <t>1R04160</t>
  </si>
  <si>
    <t>HAMDA MALEK BEN JILANI</t>
  </si>
  <si>
    <t>4R14050</t>
  </si>
  <si>
    <t>STE WAFA DAMMAK</t>
  </si>
  <si>
    <t>3R18440</t>
  </si>
  <si>
    <t>STE RELAI NAITIC EXPRESS RNE</t>
  </si>
  <si>
    <t>1S02174</t>
  </si>
  <si>
    <t>STE BEN ABDERRAZEK NASRI</t>
  </si>
  <si>
    <t>4R14069</t>
  </si>
  <si>
    <t>STE ALFATIMYA CARS</t>
  </si>
  <si>
    <t>4R15052</t>
  </si>
  <si>
    <t>4r12240</t>
  </si>
  <si>
    <t>STE HARECH TRANS.TERRESTRE</t>
  </si>
  <si>
    <t>1S01264</t>
  </si>
  <si>
    <t>SOUSSI TAOUFIK</t>
  </si>
  <si>
    <t>1R06040</t>
  </si>
  <si>
    <t>1S02063</t>
  </si>
  <si>
    <t>STE OUBAY DE PIECES</t>
  </si>
  <si>
    <t>1R02249</t>
  </si>
  <si>
    <t>STE PIECES RECH.EUROPEENNES</t>
  </si>
  <si>
    <t>1R01457</t>
  </si>
  <si>
    <t>SOCIETE VEPRA</t>
  </si>
  <si>
    <t>3R18363</t>
  </si>
  <si>
    <t>C C P D</t>
  </si>
  <si>
    <t>3R18092</t>
  </si>
  <si>
    <t>F.I.A.M</t>
  </si>
  <si>
    <t>3R18357</t>
  </si>
  <si>
    <t>SFAX VEHICULES INDUSTRIELS</t>
  </si>
  <si>
    <t>3R18108</t>
  </si>
  <si>
    <t>SOCIETE SOPI</t>
  </si>
  <si>
    <t>1R02196</t>
  </si>
  <si>
    <t>Solde au 30/06/2021</t>
  </si>
  <si>
    <t>00009192</t>
  </si>
  <si>
    <t>00009188</t>
  </si>
  <si>
    <t>00009186</t>
  </si>
  <si>
    <t>00009185</t>
  </si>
  <si>
    <t>00009198</t>
  </si>
  <si>
    <t>00009191</t>
  </si>
  <si>
    <t>00009190</t>
  </si>
  <si>
    <t>00009189</t>
  </si>
  <si>
    <t>00009170</t>
  </si>
  <si>
    <t>00009193</t>
  </si>
  <si>
    <t>00009187</t>
  </si>
  <si>
    <t>00009200</t>
  </si>
  <si>
    <t>0007881</t>
  </si>
  <si>
    <t>0007879</t>
  </si>
  <si>
    <t>0007877</t>
  </si>
  <si>
    <t>0007876</t>
  </si>
  <si>
    <t>0000385</t>
  </si>
  <si>
    <t>0007880</t>
  </si>
  <si>
    <t>0000801</t>
  </si>
  <si>
    <t>0000704</t>
  </si>
  <si>
    <t>0000701</t>
  </si>
  <si>
    <t>0007882</t>
  </si>
  <si>
    <t>0007878</t>
  </si>
  <si>
    <t>0007885</t>
  </si>
  <si>
    <t>TUNISIE AUTOROUTES</t>
  </si>
  <si>
    <t>Ma羡re  Nabil dabboussi</t>
  </si>
  <si>
    <t>ALPHA FORD</t>
  </si>
  <si>
    <t>GAFSA</t>
  </si>
  <si>
    <t>SFAX</t>
  </si>
  <si>
    <t>STE ROUA VENTE ET ACHAT EN</t>
  </si>
  <si>
    <t>4R12222</t>
  </si>
  <si>
    <t>SO CO TEM</t>
  </si>
  <si>
    <t>1R01598</t>
  </si>
  <si>
    <t>CHAABANI OKBA BEN ALI</t>
  </si>
  <si>
    <t>7R16082</t>
  </si>
  <si>
    <t>STE KHRIJI PIECE AUTO</t>
  </si>
  <si>
    <t>6R21190</t>
  </si>
  <si>
    <t>GUEDHAMI JALEL</t>
  </si>
  <si>
    <t>4R14079</t>
  </si>
  <si>
    <t>GHARBI BILEL BEN ELARBI</t>
  </si>
  <si>
    <t>7R17058</t>
  </si>
  <si>
    <t>ELECTRIC AUTO JEMMAL</t>
  </si>
  <si>
    <t>4R13098</t>
  </si>
  <si>
    <t>STE BOUKHRIS PICES.RECHANGES</t>
  </si>
  <si>
    <t>4R14075</t>
  </si>
  <si>
    <t>SOCIETE AMIN RENT A CAR</t>
  </si>
  <si>
    <t>1R01498</t>
  </si>
  <si>
    <t>STE MBABET AUTO</t>
  </si>
  <si>
    <t>6R21169</t>
  </si>
  <si>
    <t>6r23159</t>
  </si>
  <si>
    <t>STE PIECES AUTOS JAPONAISES</t>
  </si>
  <si>
    <t>3R18336</t>
  </si>
  <si>
    <t>ZAIED HABIB BEN MOHAMED</t>
  </si>
  <si>
    <t>6R23164</t>
  </si>
  <si>
    <t>CLIENT PASSAGER JENDOUBA</t>
  </si>
  <si>
    <t>8X01000</t>
  </si>
  <si>
    <t>BEN MECHRI SALAH B KHOUMAIES</t>
  </si>
  <si>
    <t>8R09086</t>
  </si>
  <si>
    <t>STE GHAMMOUR ENAKHIL</t>
  </si>
  <si>
    <t>8R11061</t>
  </si>
  <si>
    <t>SALAH MHIRI</t>
  </si>
  <si>
    <t>4R12024</t>
  </si>
  <si>
    <t>STE EL MABROUK</t>
  </si>
  <si>
    <t>1R05198</t>
  </si>
  <si>
    <t>JIHED ELARBI</t>
  </si>
  <si>
    <t>6r23172</t>
  </si>
  <si>
    <t>STE COGEPA</t>
  </si>
  <si>
    <t>1R02235</t>
  </si>
  <si>
    <t>STE MARJA DE DEVELOPPEMENT</t>
  </si>
  <si>
    <t>1S10001</t>
  </si>
  <si>
    <t>TOUIHRI HICHEM B.HASSEN</t>
  </si>
  <si>
    <t>8R10071</t>
  </si>
  <si>
    <t>Amount</t>
  </si>
  <si>
    <t>TOTAL 11/2021</t>
  </si>
  <si>
    <t>NEJI KHIAREDDINE</t>
  </si>
  <si>
    <t>4R14034</t>
  </si>
  <si>
    <t>ZIED B.MED ALI B.SAADI AYARI</t>
  </si>
  <si>
    <t>8R08049</t>
  </si>
  <si>
    <t>STE. REPARATION ELEC.&amp; MEC.</t>
  </si>
  <si>
    <t>3R18158</t>
  </si>
  <si>
    <t>STE EL GHARBI EQUIP.GENERAL</t>
  </si>
  <si>
    <t>4R14015</t>
  </si>
  <si>
    <t>MOHAMED TAHER TNANCHA</t>
  </si>
  <si>
    <t>7R22013</t>
  </si>
  <si>
    <t>SOCIETE TRANS-FOOD</t>
  </si>
  <si>
    <t>4S120006</t>
  </si>
  <si>
    <t>STE     SCAPA</t>
  </si>
  <si>
    <t>3R18331</t>
  </si>
  <si>
    <t>S O C O M A F</t>
  </si>
  <si>
    <t>8R09022</t>
  </si>
  <si>
    <t>STE  COMPTOIR CYRINE-MARIEM</t>
  </si>
  <si>
    <t>1R02143</t>
  </si>
  <si>
    <t>ROJDI BEN MOHAMED KRAOUII</t>
  </si>
  <si>
    <t>8R10040</t>
  </si>
  <si>
    <t>STE TUNISIENNE AGRICOLE</t>
  </si>
  <si>
    <t>8R09078</t>
  </si>
  <si>
    <t>AMMAR B. ABDERRAHMEN GHRIBI</t>
  </si>
  <si>
    <t>6R21035</t>
  </si>
  <si>
    <t>WALID BEN HABIB CHORFI</t>
  </si>
  <si>
    <t>8R10037</t>
  </si>
  <si>
    <t>STE TUN DE PRODUITS AGRICOLE</t>
  </si>
  <si>
    <t>8R09076</t>
  </si>
  <si>
    <t>STE RAHMANI DE PIECES AUTOS</t>
  </si>
  <si>
    <t>8R08043</t>
  </si>
  <si>
    <t>1S01255</t>
  </si>
  <si>
    <t>ISSAOUI ABDERRAHMEN</t>
  </si>
  <si>
    <t>8R11010</t>
  </si>
  <si>
    <t>STE HAMMAMI DE MATER.AGRICOL</t>
  </si>
  <si>
    <t>8R10056</t>
  </si>
  <si>
    <t>STE GENERAL BETON</t>
  </si>
  <si>
    <t>4S12056</t>
  </si>
  <si>
    <t>C O P I A</t>
  </si>
  <si>
    <t>3R18146</t>
  </si>
  <si>
    <t>SOLDE au 05/06/2021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</si>
</sst>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* #,##0.00\ _€_-;\-* #,##0.00\ _€_-;_-* &quot;-&quot;??\ _€_-;_-@_-"/>
    <numFmt numFmtId="165" formatCode="#,##0.000"/>
    <numFmt numFmtId="166" formatCode="#,##0.000\ _F"/>
    <numFmt numFmtId="167" formatCode="#,##0;[Red]#,##0"/>
    <numFmt numFmtId="168" formatCode="0.0000000"/>
    <numFmt numFmtId="169" formatCode="[$-40C]d\-mmm\-yy;@"/>
    <numFmt numFmtId="170" formatCode="[$-40C]mmm\-yy;@"/>
    <numFmt numFmtId="171" formatCode="0.00000000"/>
    <numFmt numFmtId="173" formatCode="#,##0.0000"/>
    <numFmt numFmtId="174" formatCode="0.0000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FF00"/>
      <name val="Times New Roman"/>
      <family val="1"/>
    </font>
    <font>
      <b/>
      <i/>
      <sz val="10"/>
      <color theme="1"/>
      <name val="Times New Roman"/>
      <family val="1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0"/>
      <color rgb="FFFF0000"/>
      <name val="Times New Roman"/>
      <family val="1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0" fontId="34" fillId="0" borderId="0"/>
  </cellStyleXfs>
  <cellXfs count="740">
    <xf numFmtId="0" fontId="0" fillId="0" borderId="0" xfId="0"/>
    <xf numFmtId="0" fontId="6" fillId="0" borderId="0" xfId="0" applyFont="1"/>
    <xf numFmtId="165" fontId="4" fillId="2" borderId="27" xfId="0" applyNumberFormat="1" applyFont="1" applyFill="1" applyBorder="1" applyAlignment="1">
      <alignment horizontal="center"/>
    </xf>
    <xf numFmtId="4" fontId="4" fillId="2" borderId="27" xfId="0" applyNumberFormat="1" applyFont="1" applyFill="1" applyBorder="1" applyAlignment="1">
      <alignment horizontal="center"/>
    </xf>
    <xf numFmtId="14" fontId="4" fillId="2" borderId="27" xfId="0" applyNumberFormat="1" applyFont="1" applyFill="1" applyBorder="1" applyAlignment="1">
      <alignment horizontal="center"/>
    </xf>
    <xf numFmtId="0" fontId="9" fillId="0" borderId="0" xfId="0" applyFont="1"/>
    <xf numFmtId="0" fontId="10" fillId="0" borderId="0" xfId="0" applyFont="1"/>
    <xf numFmtId="167" fontId="9" fillId="5" borderId="17" xfId="0" applyNumberFormat="1" applyFont="1" applyFill="1" applyBorder="1"/>
    <xf numFmtId="167" fontId="10" fillId="0" borderId="0" xfId="0" applyNumberFormat="1" applyFont="1"/>
    <xf numFmtId="0" fontId="14" fillId="6" borderId="9" xfId="0" applyFont="1" applyFill="1" applyBorder="1"/>
    <xf numFmtId="0" fontId="9" fillId="0" borderId="9" xfId="0" applyFont="1" applyBorder="1"/>
    <xf numFmtId="167" fontId="9" fillId="5" borderId="9" xfId="0" applyNumberFormat="1" applyFont="1" applyFill="1" applyBorder="1"/>
    <xf numFmtId="14" fontId="6" fillId="0" borderId="0" xfId="0" applyNumberFormat="1" applyFont="1"/>
    <xf numFmtId="14" fontId="4" fillId="0" borderId="31" xfId="0" applyNumberFormat="1" applyFont="1" applyBorder="1" applyAlignment="1">
      <alignment horizontal="right"/>
    </xf>
    <xf numFmtId="165" fontId="0" fillId="0" borderId="0" xfId="0" applyNumberFormat="1"/>
    <xf numFmtId="0" fontId="6" fillId="0" borderId="17" xfId="0" applyFont="1" applyBorder="1" applyAlignment="1">
      <alignment vertical="center"/>
    </xf>
    <xf numFmtId="0" fontId="6" fillId="0" borderId="19" xfId="0" applyFont="1" applyBorder="1"/>
    <xf numFmtId="4" fontId="6" fillId="0" borderId="19" xfId="0" applyNumberFormat="1" applyFont="1" applyBorder="1" applyAlignment="1">
      <alignment horizontal="center"/>
    </xf>
    <xf numFmtId="14" fontId="6" fillId="0" borderId="20" xfId="0" applyNumberFormat="1" applyFont="1" applyBorder="1" applyAlignment="1">
      <alignment horizontal="center"/>
    </xf>
    <xf numFmtId="165" fontId="6" fillId="0" borderId="18" xfId="0" applyNumberFormat="1" applyFont="1" applyBorder="1" applyAlignment="1">
      <alignment horizontal="center"/>
    </xf>
    <xf numFmtId="4" fontId="6" fillId="0" borderId="18" xfId="0" applyNumberFormat="1" applyFont="1" applyBorder="1" applyAlignment="1">
      <alignment horizontal="center"/>
    </xf>
    <xf numFmtId="14" fontId="6" fillId="0" borderId="20" xfId="0" applyNumberFormat="1" applyFont="1" applyBorder="1" applyAlignment="1">
      <alignment vertical="center"/>
    </xf>
    <xf numFmtId="4" fontId="6" fillId="0" borderId="17" xfId="0" applyNumberFormat="1" applyFont="1" applyBorder="1"/>
    <xf numFmtId="3" fontId="10" fillId="0" borderId="0" xfId="0" applyNumberFormat="1" applyFont="1"/>
    <xf numFmtId="167" fontId="13" fillId="4" borderId="16" xfId="0" applyNumberFormat="1" applyFont="1" applyFill="1" applyBorder="1"/>
    <xf numFmtId="167" fontId="13" fillId="4" borderId="14" xfId="0" applyNumberFormat="1" applyFont="1" applyFill="1" applyBorder="1"/>
    <xf numFmtId="3" fontId="10" fillId="0" borderId="12" xfId="0" applyNumberFormat="1" applyFont="1" applyBorder="1" applyAlignment="1">
      <alignment horizontal="right" indent="1"/>
    </xf>
    <xf numFmtId="3" fontId="10" fillId="0" borderId="10" xfId="0" applyNumberFormat="1" applyFont="1" applyBorder="1" applyAlignment="1">
      <alignment horizontal="right" indent="1"/>
    </xf>
    <xf numFmtId="3" fontId="9" fillId="0" borderId="12" xfId="0" applyNumberFormat="1" applyFont="1" applyBorder="1"/>
    <xf numFmtId="3" fontId="9" fillId="0" borderId="10" xfId="0" applyNumberFormat="1" applyFont="1" applyBorder="1"/>
    <xf numFmtId="3" fontId="9" fillId="0" borderId="12" xfId="0" applyNumberFormat="1" applyFont="1" applyBorder="1" applyAlignment="1">
      <alignment horizontal="right"/>
    </xf>
    <xf numFmtId="3" fontId="9" fillId="0" borderId="10" xfId="0" applyNumberFormat="1" applyFont="1" applyBorder="1" applyAlignment="1">
      <alignment horizontal="right"/>
    </xf>
    <xf numFmtId="0" fontId="9" fillId="0" borderId="9" xfId="0" applyFont="1" applyBorder="1" applyAlignment="1">
      <alignment horizontal="left"/>
    </xf>
    <xf numFmtId="3" fontId="10" fillId="0" borderId="12" xfId="0" applyNumberFormat="1" applyFont="1" applyBorder="1"/>
    <xf numFmtId="14" fontId="0" fillId="0" borderId="0" xfId="0" applyNumberFormat="1"/>
    <xf numFmtId="4" fontId="0" fillId="0" borderId="0" xfId="0" applyNumberFormat="1"/>
    <xf numFmtId="0" fontId="16" fillId="0" borderId="0" xfId="0" applyFont="1"/>
    <xf numFmtId="3" fontId="10" fillId="0" borderId="11" xfId="0" applyNumberFormat="1" applyFont="1" applyBorder="1"/>
    <xf numFmtId="3" fontId="9" fillId="0" borderId="11" xfId="0" applyNumberFormat="1" applyFont="1" applyBorder="1"/>
    <xf numFmtId="3" fontId="9" fillId="0" borderId="11" xfId="0" applyNumberFormat="1" applyFont="1" applyBorder="1" applyAlignment="1">
      <alignment horizontal="right"/>
    </xf>
    <xf numFmtId="3" fontId="10" fillId="0" borderId="11" xfId="0" applyNumberFormat="1" applyFont="1" applyBorder="1" applyAlignment="1">
      <alignment horizontal="right" indent="1"/>
    </xf>
    <xf numFmtId="167" fontId="9" fillId="5" borderId="10" xfId="0" applyNumberFormat="1" applyFont="1" applyFill="1" applyBorder="1" applyAlignment="1">
      <alignment horizontal="center"/>
    </xf>
    <xf numFmtId="167" fontId="9" fillId="5" borderId="12" xfId="0" applyNumberFormat="1" applyFont="1" applyFill="1" applyBorder="1" applyAlignment="1">
      <alignment horizontal="center"/>
    </xf>
    <xf numFmtId="167" fontId="9" fillId="5" borderId="11" xfId="0" applyNumberFormat="1" applyFont="1" applyFill="1" applyBorder="1" applyAlignment="1">
      <alignment horizontal="center"/>
    </xf>
    <xf numFmtId="167" fontId="13" fillId="4" borderId="15" xfId="0" applyNumberFormat="1" applyFont="1" applyFill="1" applyBorder="1"/>
    <xf numFmtId="3" fontId="10" fillId="0" borderId="35" xfId="0" applyNumberFormat="1" applyFont="1" applyBorder="1" applyAlignment="1">
      <alignment horizontal="center"/>
    </xf>
    <xf numFmtId="3" fontId="10" fillId="0" borderId="35" xfId="0" applyNumberFormat="1" applyFont="1" applyBorder="1" applyAlignment="1">
      <alignment horizontal="right" indent="1"/>
    </xf>
    <xf numFmtId="3" fontId="9" fillId="5" borderId="27" xfId="0" applyNumberFormat="1" applyFont="1" applyFill="1" applyBorder="1" applyAlignment="1">
      <alignment horizontal="center"/>
    </xf>
    <xf numFmtId="3" fontId="10" fillId="0" borderId="36" xfId="0" applyNumberFormat="1" applyFont="1" applyBorder="1" applyAlignment="1">
      <alignment horizontal="center"/>
    </xf>
    <xf numFmtId="3" fontId="10" fillId="0" borderId="37" xfId="0" applyNumberFormat="1" applyFont="1" applyBorder="1"/>
    <xf numFmtId="3" fontId="9" fillId="7" borderId="35" xfId="0" applyNumberFormat="1" applyFont="1" applyFill="1" applyBorder="1" applyAlignment="1">
      <alignment horizontal="center"/>
    </xf>
    <xf numFmtId="3" fontId="10" fillId="7" borderId="11" xfId="0" applyNumberFormat="1" applyFont="1" applyFill="1" applyBorder="1"/>
    <xf numFmtId="3" fontId="10" fillId="7" borderId="12" xfId="0" applyNumberFormat="1" applyFont="1" applyFill="1" applyBorder="1"/>
    <xf numFmtId="4" fontId="4" fillId="0" borderId="7" xfId="0" applyNumberFormat="1" applyFont="1" applyBorder="1"/>
    <xf numFmtId="4" fontId="4" fillId="4" borderId="19" xfId="0" applyNumberFormat="1" applyFont="1" applyFill="1" applyBorder="1"/>
    <xf numFmtId="0" fontId="6" fillId="0" borderId="14" xfId="0" applyFont="1" applyBorder="1"/>
    <xf numFmtId="4" fontId="6" fillId="0" borderId="15" xfId="0" applyNumberFormat="1" applyFont="1" applyBorder="1"/>
    <xf numFmtId="0" fontId="6" fillId="4" borderId="18" xfId="0" applyFont="1" applyFill="1" applyBorder="1"/>
    <xf numFmtId="14" fontId="6" fillId="4" borderId="19" xfId="0" applyNumberFormat="1" applyFont="1" applyFill="1" applyBorder="1"/>
    <xf numFmtId="0" fontId="6" fillId="4" borderId="19" xfId="0" applyFont="1" applyFill="1" applyBorder="1"/>
    <xf numFmtId="4" fontId="6" fillId="4" borderId="19" xfId="0" applyNumberFormat="1" applyFont="1" applyFill="1" applyBorder="1"/>
    <xf numFmtId="14" fontId="6" fillId="4" borderId="20" xfId="0" applyNumberFormat="1" applyFont="1" applyFill="1" applyBorder="1"/>
    <xf numFmtId="3" fontId="9" fillId="5" borderId="18" xfId="0" applyNumberFormat="1" applyFont="1" applyFill="1" applyBorder="1" applyAlignment="1">
      <alignment horizontal="center"/>
    </xf>
    <xf numFmtId="3" fontId="9" fillId="5" borderId="19" xfId="0" applyNumberFormat="1" applyFont="1" applyFill="1" applyBorder="1" applyAlignment="1">
      <alignment horizontal="center"/>
    </xf>
    <xf numFmtId="3" fontId="9" fillId="5" borderId="20" xfId="0" applyNumberFormat="1" applyFont="1" applyFill="1" applyBorder="1" applyAlignment="1">
      <alignment horizontal="center"/>
    </xf>
    <xf numFmtId="3" fontId="12" fillId="0" borderId="0" xfId="0" applyNumberFormat="1" applyFont="1"/>
    <xf numFmtId="0" fontId="12" fillId="0" borderId="0" xfId="0" applyFont="1"/>
    <xf numFmtId="3" fontId="18" fillId="0" borderId="0" xfId="0" applyNumberFormat="1" applyFont="1"/>
    <xf numFmtId="0" fontId="6" fillId="0" borderId="15" xfId="0" applyFont="1" applyBorder="1"/>
    <xf numFmtId="3" fontId="18" fillId="0" borderId="11" xfId="0" applyNumberFormat="1" applyFont="1" applyBorder="1" applyAlignment="1">
      <alignment horizontal="right" indent="1"/>
    </xf>
    <xf numFmtId="4" fontId="6" fillId="0" borderId="0" xfId="0" applyNumberFormat="1" applyFont="1"/>
    <xf numFmtId="0" fontId="6" fillId="0" borderId="10" xfId="0" applyFont="1" applyBorder="1"/>
    <xf numFmtId="4" fontId="4" fillId="0" borderId="0" xfId="0" applyNumberFormat="1" applyFont="1"/>
    <xf numFmtId="3" fontId="9" fillId="0" borderId="39" xfId="0" applyNumberFormat="1" applyFont="1" applyBorder="1" applyAlignment="1">
      <alignment horizontal="right"/>
    </xf>
    <xf numFmtId="3" fontId="17" fillId="0" borderId="11" xfId="0" applyNumberFormat="1" applyFont="1" applyBorder="1"/>
    <xf numFmtId="0" fontId="6" fillId="0" borderId="16" xfId="0" applyFont="1" applyBorder="1"/>
    <xf numFmtId="165" fontId="6" fillId="0" borderId="0" xfId="0" applyNumberFormat="1" applyFont="1"/>
    <xf numFmtId="165" fontId="4" fillId="0" borderId="6" xfId="0" applyNumberFormat="1" applyFont="1" applyBorder="1" applyAlignment="1">
      <alignment horizontal="center"/>
    </xf>
    <xf numFmtId="165" fontId="6" fillId="0" borderId="11" xfId="0" applyNumberFormat="1" applyFont="1" applyBorder="1"/>
    <xf numFmtId="165" fontId="4" fillId="0" borderId="30" xfId="0" applyNumberFormat="1" applyFont="1" applyBorder="1"/>
    <xf numFmtId="165" fontId="6" fillId="0" borderId="15" xfId="0" applyNumberFormat="1" applyFont="1" applyBorder="1"/>
    <xf numFmtId="165" fontId="4" fillId="0" borderId="0" xfId="0" applyNumberFormat="1" applyFont="1"/>
    <xf numFmtId="14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11" xfId="0" applyFont="1" applyBorder="1"/>
    <xf numFmtId="4" fontId="6" fillId="0" borderId="11" xfId="0" applyNumberFormat="1" applyFont="1" applyBorder="1"/>
    <xf numFmtId="0" fontId="6" fillId="0" borderId="24" xfId="0" applyFont="1" applyBorder="1"/>
    <xf numFmtId="165" fontId="6" fillId="0" borderId="25" xfId="0" applyNumberFormat="1" applyFont="1" applyBorder="1"/>
    <xf numFmtId="4" fontId="4" fillId="0" borderId="51" xfId="0" applyNumberFormat="1" applyFont="1" applyBorder="1"/>
    <xf numFmtId="3" fontId="19" fillId="0" borderId="11" xfId="0" applyNumberFormat="1" applyFont="1" applyBorder="1" applyAlignment="1">
      <alignment horizontal="right" indent="1"/>
    </xf>
    <xf numFmtId="167" fontId="9" fillId="5" borderId="38" xfId="0" applyNumberFormat="1" applyFont="1" applyFill="1" applyBorder="1" applyAlignment="1">
      <alignment horizontal="center"/>
    </xf>
    <xf numFmtId="3" fontId="9" fillId="0" borderId="38" xfId="0" applyNumberFormat="1" applyFont="1" applyBorder="1"/>
    <xf numFmtId="3" fontId="10" fillId="0" borderId="10" xfId="0" applyNumberFormat="1" applyFont="1" applyBorder="1"/>
    <xf numFmtId="3" fontId="10" fillId="7" borderId="10" xfId="0" applyNumberFormat="1" applyFont="1" applyFill="1" applyBorder="1"/>
    <xf numFmtId="3" fontId="9" fillId="0" borderId="38" xfId="0" applyNumberFormat="1" applyFont="1" applyBorder="1" applyAlignment="1">
      <alignment horizontal="right"/>
    </xf>
    <xf numFmtId="167" fontId="13" fillId="4" borderId="40" xfId="0" applyNumberFormat="1" applyFont="1" applyFill="1" applyBorder="1"/>
    <xf numFmtId="3" fontId="10" fillId="0" borderId="39" xfId="0" applyNumberFormat="1" applyFont="1" applyBorder="1"/>
    <xf numFmtId="3" fontId="9" fillId="0" borderId="39" xfId="0" applyNumberFormat="1" applyFont="1" applyBorder="1"/>
    <xf numFmtId="3" fontId="10" fillId="7" borderId="39" xfId="0" applyNumberFormat="1" applyFont="1" applyFill="1" applyBorder="1"/>
    <xf numFmtId="3" fontId="10" fillId="0" borderId="39" xfId="0" applyNumberFormat="1" applyFont="1" applyBorder="1" applyAlignment="1">
      <alignment horizontal="right" indent="1"/>
    </xf>
    <xf numFmtId="167" fontId="9" fillId="5" borderId="39" xfId="0" applyNumberFormat="1" applyFont="1" applyFill="1" applyBorder="1" applyAlignment="1">
      <alignment horizontal="center"/>
    </xf>
    <xf numFmtId="167" fontId="13" fillId="4" borderId="41" xfId="0" applyNumberFormat="1" applyFont="1" applyFill="1" applyBorder="1"/>
    <xf numFmtId="3" fontId="19" fillId="0" borderId="12" xfId="0" applyNumberFormat="1" applyFont="1" applyBorder="1" applyAlignment="1">
      <alignment horizontal="right" indent="1"/>
    </xf>
    <xf numFmtId="0" fontId="6" fillId="0" borderId="18" xfId="0" applyFont="1" applyBorder="1"/>
    <xf numFmtId="165" fontId="6" fillId="0" borderId="19" xfId="0" applyNumberFormat="1" applyFont="1" applyBorder="1"/>
    <xf numFmtId="0" fontId="6" fillId="0" borderId="23" xfId="0" applyFont="1" applyBorder="1"/>
    <xf numFmtId="14" fontId="6" fillId="0" borderId="25" xfId="0" applyNumberFormat="1" applyFont="1" applyBorder="1"/>
    <xf numFmtId="0" fontId="6" fillId="0" borderId="25" xfId="0" applyFont="1" applyBorder="1"/>
    <xf numFmtId="4" fontId="6" fillId="0" borderId="25" xfId="0" applyNumberFormat="1" applyFont="1" applyBorder="1"/>
    <xf numFmtId="14" fontId="6" fillId="0" borderId="26" xfId="0" applyNumberFormat="1" applyFont="1" applyBorder="1"/>
    <xf numFmtId="165" fontId="6" fillId="0" borderId="24" xfId="0" applyNumberFormat="1" applyFont="1" applyBorder="1"/>
    <xf numFmtId="4" fontId="6" fillId="0" borderId="24" xfId="0" applyNumberFormat="1" applyFont="1" applyBorder="1"/>
    <xf numFmtId="0" fontId="6" fillId="0" borderId="26" xfId="0" applyFont="1" applyBorder="1"/>
    <xf numFmtId="4" fontId="6" fillId="0" borderId="23" xfId="0" applyNumberFormat="1" applyFont="1" applyBorder="1"/>
    <xf numFmtId="4" fontId="6" fillId="0" borderId="20" xfId="0" applyNumberFormat="1" applyFont="1" applyBorder="1"/>
    <xf numFmtId="4" fontId="6" fillId="0" borderId="12" xfId="0" applyNumberFormat="1" applyFont="1" applyBorder="1"/>
    <xf numFmtId="3" fontId="12" fillId="0" borderId="11" xfId="0" applyNumberFormat="1" applyFont="1" applyBorder="1"/>
    <xf numFmtId="3" fontId="17" fillId="7" borderId="14" xfId="0" applyNumberFormat="1" applyFont="1" applyFill="1" applyBorder="1"/>
    <xf numFmtId="3" fontId="17" fillId="7" borderId="15" xfId="0" applyNumberFormat="1" applyFont="1" applyFill="1" applyBorder="1"/>
    <xf numFmtId="3" fontId="17" fillId="7" borderId="16" xfId="0" applyNumberFormat="1" applyFont="1" applyFill="1" applyBorder="1"/>
    <xf numFmtId="3" fontId="15" fillId="6" borderId="56" xfId="0" applyNumberFormat="1" applyFont="1" applyFill="1" applyBorder="1" applyAlignment="1">
      <alignment horizontal="center"/>
    </xf>
    <xf numFmtId="3" fontId="15" fillId="6" borderId="57" xfId="0" applyNumberFormat="1" applyFont="1" applyFill="1" applyBorder="1" applyAlignment="1">
      <alignment horizontal="center"/>
    </xf>
    <xf numFmtId="3" fontId="9" fillId="0" borderId="18" xfId="0" applyNumberFormat="1" applyFont="1" applyBorder="1" applyAlignment="1">
      <alignment horizontal="right"/>
    </xf>
    <xf numFmtId="3" fontId="9" fillId="0" borderId="19" xfId="0" applyNumberFormat="1" applyFont="1" applyBorder="1" applyAlignment="1">
      <alignment horizontal="right"/>
    </xf>
    <xf numFmtId="3" fontId="9" fillId="0" borderId="20" xfId="0" applyNumberFormat="1" applyFont="1" applyBorder="1" applyAlignment="1">
      <alignment horizontal="right"/>
    </xf>
    <xf numFmtId="3" fontId="18" fillId="0" borderId="10" xfId="0" applyNumberFormat="1" applyFont="1" applyBorder="1" applyAlignment="1">
      <alignment horizontal="right" indent="1"/>
    </xf>
    <xf numFmtId="3" fontId="18" fillId="0" borderId="11" xfId="0" applyNumberFormat="1" applyFont="1" applyBorder="1"/>
    <xf numFmtId="3" fontId="17" fillId="0" borderId="11" xfId="0" applyNumberFormat="1" applyFont="1" applyBorder="1" applyAlignment="1">
      <alignment horizontal="right" indent="1"/>
    </xf>
    <xf numFmtId="4" fontId="10" fillId="0" borderId="0" xfId="0" applyNumberFormat="1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4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vertical="center"/>
    </xf>
    <xf numFmtId="3" fontId="10" fillId="0" borderId="28" xfId="0" applyNumberFormat="1" applyFont="1" applyBorder="1"/>
    <xf numFmtId="3" fontId="10" fillId="0" borderId="29" xfId="0" applyNumberFormat="1" applyFont="1" applyBorder="1"/>
    <xf numFmtId="3" fontId="10" fillId="0" borderId="44" xfId="0" applyNumberFormat="1" applyFont="1" applyBorder="1"/>
    <xf numFmtId="3" fontId="9" fillId="5" borderId="17" xfId="0" applyNumberFormat="1" applyFont="1" applyFill="1" applyBorder="1" applyAlignment="1">
      <alignment horizontal="center"/>
    </xf>
    <xf numFmtId="3" fontId="9" fillId="0" borderId="29" xfId="0" applyNumberFormat="1" applyFont="1" applyBorder="1" applyAlignment="1">
      <alignment horizontal="right"/>
    </xf>
    <xf numFmtId="3" fontId="15" fillId="6" borderId="5" xfId="0" applyNumberFormat="1" applyFont="1" applyFill="1" applyBorder="1" applyAlignment="1">
      <alignment horizontal="center"/>
    </xf>
    <xf numFmtId="3" fontId="15" fillId="6" borderId="7" xfId="0" applyNumberFormat="1" applyFont="1" applyFill="1" applyBorder="1" applyAlignment="1">
      <alignment horizontal="center"/>
    </xf>
    <xf numFmtId="3" fontId="17" fillId="7" borderId="58" xfId="0" applyNumberFormat="1" applyFont="1" applyFill="1" applyBorder="1"/>
    <xf numFmtId="3" fontId="17" fillId="7" borderId="26" xfId="0" applyNumberFormat="1" applyFont="1" applyFill="1" applyBorder="1"/>
    <xf numFmtId="3" fontId="9" fillId="0" borderId="44" xfId="0" applyNumberFormat="1" applyFont="1" applyBorder="1" applyAlignment="1">
      <alignment horizontal="right"/>
    </xf>
    <xf numFmtId="3" fontId="15" fillId="6" borderId="6" xfId="0" applyNumberFormat="1" applyFont="1" applyFill="1" applyBorder="1" applyAlignment="1">
      <alignment horizontal="center"/>
    </xf>
    <xf numFmtId="3" fontId="15" fillId="6" borderId="27" xfId="0" applyNumberFormat="1" applyFont="1" applyFill="1" applyBorder="1" applyAlignment="1">
      <alignment horizontal="center"/>
    </xf>
    <xf numFmtId="3" fontId="15" fillId="6" borderId="59" xfId="0" applyNumberFormat="1" applyFont="1" applyFill="1" applyBorder="1" applyAlignment="1">
      <alignment horizontal="center"/>
    </xf>
    <xf numFmtId="3" fontId="17" fillId="7" borderId="25" xfId="0" applyNumberFormat="1" applyFont="1" applyFill="1" applyBorder="1"/>
    <xf numFmtId="3" fontId="10" fillId="0" borderId="18" xfId="0" applyNumberFormat="1" applyFont="1" applyBorder="1"/>
    <xf numFmtId="3" fontId="10" fillId="0" borderId="20" xfId="0" applyNumberFormat="1" applyFont="1" applyBorder="1"/>
    <xf numFmtId="3" fontId="13" fillId="7" borderId="60" xfId="0" applyNumberFormat="1" applyFont="1" applyFill="1" applyBorder="1" applyAlignment="1">
      <alignment horizontal="center"/>
    </xf>
    <xf numFmtId="3" fontId="9" fillId="0" borderId="36" xfId="0" applyNumberFormat="1" applyFont="1" applyBorder="1" applyAlignment="1">
      <alignment horizontal="right"/>
    </xf>
    <xf numFmtId="0" fontId="6" fillId="0" borderId="5" xfId="0" applyFont="1" applyBorder="1"/>
    <xf numFmtId="0" fontId="6" fillId="0" borderId="6" xfId="0" applyFont="1" applyBorder="1"/>
    <xf numFmtId="4" fontId="6" fillId="0" borderId="6" xfId="0" applyNumberFormat="1" applyFont="1" applyBorder="1"/>
    <xf numFmtId="165" fontId="6" fillId="0" borderId="6" xfId="0" applyNumberFormat="1" applyFont="1" applyBorder="1"/>
    <xf numFmtId="14" fontId="6" fillId="0" borderId="6" xfId="0" applyNumberFormat="1" applyFont="1" applyBorder="1"/>
    <xf numFmtId="14" fontId="6" fillId="0" borderId="19" xfId="0" applyNumberFormat="1" applyFont="1" applyBorder="1"/>
    <xf numFmtId="14" fontId="6" fillId="0" borderId="15" xfId="0" applyNumberFormat="1" applyFont="1" applyBorder="1"/>
    <xf numFmtId="14" fontId="6" fillId="0" borderId="16" xfId="0" applyNumberFormat="1" applyFont="1" applyBorder="1" applyAlignment="1">
      <alignment horizontal="right"/>
    </xf>
    <xf numFmtId="3" fontId="18" fillId="0" borderId="10" xfId="0" applyNumberFormat="1" applyFont="1" applyBorder="1"/>
    <xf numFmtId="165" fontId="2" fillId="0" borderId="0" xfId="0" applyNumberFormat="1" applyFont="1"/>
    <xf numFmtId="0" fontId="2" fillId="0" borderId="18" xfId="0" applyFont="1" applyBorder="1"/>
    <xf numFmtId="0" fontId="2" fillId="0" borderId="10" xfId="0" applyFont="1" applyBorder="1"/>
    <xf numFmtId="0" fontId="2" fillId="0" borderId="20" xfId="0" applyFont="1" applyBorder="1"/>
    <xf numFmtId="0" fontId="2" fillId="0" borderId="12" xfId="0" applyFont="1" applyBorder="1"/>
    <xf numFmtId="1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11" fillId="8" borderId="6" xfId="0" applyFont="1" applyFill="1" applyBorder="1" applyAlignment="1">
      <alignment horizontal="right"/>
    </xf>
    <xf numFmtId="3" fontId="11" fillId="8" borderId="6" xfId="0" applyNumberFormat="1" applyFont="1" applyFill="1" applyBorder="1" applyAlignment="1">
      <alignment horizontal="center"/>
    </xf>
    <xf numFmtId="14" fontId="11" fillId="8" borderId="6" xfId="0" applyNumberFormat="1" applyFont="1" applyFill="1" applyBorder="1" applyAlignment="1">
      <alignment horizontal="center"/>
    </xf>
    <xf numFmtId="14" fontId="11" fillId="8" borderId="7" xfId="0" applyNumberFormat="1" applyFont="1" applyFill="1" applyBorder="1" applyAlignment="1">
      <alignment horizontal="center"/>
    </xf>
    <xf numFmtId="3" fontId="5" fillId="9" borderId="5" xfId="0" applyNumberFormat="1" applyFont="1" applyFill="1" applyBorder="1" applyAlignment="1">
      <alignment horizontal="right"/>
    </xf>
    <xf numFmtId="14" fontId="2" fillId="9" borderId="5" xfId="0" applyNumberFormat="1" applyFont="1" applyFill="1" applyBorder="1" applyAlignment="1">
      <alignment horizontal="right"/>
    </xf>
    <xf numFmtId="14" fontId="2" fillId="9" borderId="7" xfId="0" applyNumberFormat="1" applyFont="1" applyFill="1" applyBorder="1" applyAlignment="1">
      <alignment horizontal="right"/>
    </xf>
    <xf numFmtId="0" fontId="2" fillId="0" borderId="0" xfId="0" applyFont="1"/>
    <xf numFmtId="3" fontId="2" fillId="0" borderId="0" xfId="0" applyNumberFormat="1" applyFont="1"/>
    <xf numFmtId="3" fontId="20" fillId="0" borderId="46" xfId="0" applyNumberFormat="1" applyFont="1" applyBorder="1" applyAlignment="1">
      <alignment horizontal="right"/>
    </xf>
    <xf numFmtId="0" fontId="20" fillId="0" borderId="32" xfId="0" applyFont="1" applyBorder="1"/>
    <xf numFmtId="0" fontId="20" fillId="0" borderId="0" xfId="0" applyFont="1"/>
    <xf numFmtId="3" fontId="2" fillId="0" borderId="0" xfId="0" applyNumberFormat="1" applyFont="1" applyAlignment="1">
      <alignment horizontal="right"/>
    </xf>
    <xf numFmtId="3" fontId="2" fillId="0" borderId="47" xfId="0" applyNumberFormat="1" applyFont="1" applyBorder="1"/>
    <xf numFmtId="14" fontId="6" fillId="0" borderId="18" xfId="0" applyNumberFormat="1" applyFont="1" applyBorder="1" applyAlignment="1">
      <alignment horizontal="right"/>
    </xf>
    <xf numFmtId="3" fontId="6" fillId="0" borderId="19" xfId="0" applyNumberFormat="1" applyFont="1" applyBorder="1" applyAlignment="1">
      <alignment horizontal="right"/>
    </xf>
    <xf numFmtId="3" fontId="2" fillId="0" borderId="20" xfId="0" applyNumberFormat="1" applyFont="1" applyBorder="1"/>
    <xf numFmtId="165" fontId="2" fillId="0" borderId="0" xfId="0" applyNumberFormat="1" applyFont="1" applyAlignment="1">
      <alignment horizontal="right"/>
    </xf>
    <xf numFmtId="3" fontId="2" fillId="0" borderId="38" xfId="0" applyNumberFormat="1" applyFont="1" applyBorder="1"/>
    <xf numFmtId="14" fontId="6" fillId="0" borderId="10" xfId="0" applyNumberFormat="1" applyFont="1" applyBorder="1" applyAlignment="1">
      <alignment horizontal="right"/>
    </xf>
    <xf numFmtId="3" fontId="6" fillId="0" borderId="11" xfId="0" applyNumberFormat="1" applyFont="1" applyBorder="1" applyAlignment="1">
      <alignment horizontal="right"/>
    </xf>
    <xf numFmtId="3" fontId="2" fillId="0" borderId="52" xfId="0" applyNumberFormat="1" applyFont="1" applyBorder="1"/>
    <xf numFmtId="3" fontId="5" fillId="9" borderId="6" xfId="0" applyNumberFormat="1" applyFont="1" applyFill="1" applyBorder="1" applyAlignment="1">
      <alignment horizontal="right"/>
    </xf>
    <xf numFmtId="3" fontId="4" fillId="9" borderId="7" xfId="0" applyNumberFormat="1" applyFont="1" applyFill="1" applyBorder="1" applyAlignment="1">
      <alignment horizontal="right"/>
    </xf>
    <xf numFmtId="14" fontId="2" fillId="9" borderId="46" xfId="0" applyNumberFormat="1" applyFont="1" applyFill="1" applyBorder="1" applyAlignment="1">
      <alignment horizontal="right"/>
    </xf>
    <xf numFmtId="14" fontId="6" fillId="0" borderId="11" xfId="0" applyNumberFormat="1" applyFont="1" applyBorder="1"/>
    <xf numFmtId="4" fontId="6" fillId="0" borderId="7" xfId="0" applyNumberFormat="1" applyFont="1" applyBorder="1"/>
    <xf numFmtId="0" fontId="17" fillId="3" borderId="9" xfId="0" applyFont="1" applyFill="1" applyBorder="1"/>
    <xf numFmtId="0" fontId="17" fillId="0" borderId="0" xfId="0" applyFont="1"/>
    <xf numFmtId="3" fontId="17" fillId="0" borderId="0" xfId="0" applyNumberFormat="1" applyFont="1"/>
    <xf numFmtId="168" fontId="6" fillId="0" borderId="0" xfId="0" applyNumberFormat="1" applyFont="1"/>
    <xf numFmtId="171" fontId="6" fillId="0" borderId="0" xfId="0" applyNumberFormat="1" applyFont="1"/>
    <xf numFmtId="0" fontId="6" fillId="0" borderId="0" xfId="0" applyFont="1" applyAlignment="1">
      <alignment horizontal="center"/>
    </xf>
    <xf numFmtId="169" fontId="6" fillId="0" borderId="32" xfId="0" applyNumberFormat="1" applyFont="1" applyBorder="1" applyAlignment="1">
      <alignment horizontal="center" vertical="center"/>
    </xf>
    <xf numFmtId="165" fontId="6" fillId="0" borderId="55" xfId="0" applyNumberFormat="1" applyFont="1" applyBorder="1" applyAlignment="1">
      <alignment vertical="center"/>
    </xf>
    <xf numFmtId="169" fontId="6" fillId="0" borderId="34" xfId="0" applyNumberFormat="1" applyFont="1" applyBorder="1" applyAlignment="1">
      <alignment horizontal="center" vertical="center"/>
    </xf>
    <xf numFmtId="0" fontId="6" fillId="0" borderId="21" xfId="0" applyFont="1" applyBorder="1" applyAlignment="1">
      <alignment vertical="center"/>
    </xf>
    <xf numFmtId="0" fontId="6" fillId="0" borderId="21" xfId="0" applyFont="1" applyBorder="1" applyAlignment="1">
      <alignment horizontal="center" vertical="center"/>
    </xf>
    <xf numFmtId="4" fontId="6" fillId="0" borderId="21" xfId="0" applyNumberFormat="1" applyFont="1" applyBorder="1" applyAlignment="1">
      <alignment vertical="center"/>
    </xf>
    <xf numFmtId="165" fontId="6" fillId="0" borderId="21" xfId="0" applyNumberFormat="1" applyFont="1" applyBorder="1" applyAlignment="1">
      <alignment vertical="center"/>
    </xf>
    <xf numFmtId="165" fontId="6" fillId="0" borderId="33" xfId="0" applyNumberFormat="1" applyFont="1" applyBorder="1" applyAlignment="1">
      <alignment vertical="center"/>
    </xf>
    <xf numFmtId="0" fontId="4" fillId="0" borderId="31" xfId="0" applyFont="1" applyBorder="1" applyAlignment="1">
      <alignment horizontal="center"/>
    </xf>
    <xf numFmtId="4" fontId="4" fillId="0" borderId="31" xfId="0" applyNumberFormat="1" applyFont="1" applyBorder="1"/>
    <xf numFmtId="49" fontId="0" fillId="0" borderId="0" xfId="0" applyNumberFormat="1"/>
    <xf numFmtId="0" fontId="22" fillId="6" borderId="0" xfId="5" applyFont="1" applyFill="1" applyAlignment="1">
      <alignment horizontal="center"/>
    </xf>
    <xf numFmtId="49" fontId="22" fillId="6" borderId="0" xfId="5" applyNumberFormat="1" applyFont="1" applyFill="1" applyAlignment="1">
      <alignment horizontal="center"/>
    </xf>
    <xf numFmtId="14" fontId="22" fillId="6" borderId="0" xfId="5" applyNumberFormat="1" applyFont="1" applyFill="1" applyAlignment="1">
      <alignment horizontal="center"/>
    </xf>
    <xf numFmtId="165" fontId="22" fillId="6" borderId="0" xfId="5" applyNumberFormat="1" applyFont="1" applyFill="1" applyAlignment="1">
      <alignment horizontal="center"/>
    </xf>
    <xf numFmtId="49" fontId="23" fillId="6" borderId="0" xfId="5" applyNumberFormat="1" applyFont="1" applyFill="1" applyAlignment="1">
      <alignment horizontal="center"/>
    </xf>
    <xf numFmtId="0" fontId="24" fillId="0" borderId="0" xfId="0" applyFont="1"/>
    <xf numFmtId="0" fontId="25" fillId="0" borderId="0" xfId="0" applyFont="1"/>
    <xf numFmtId="165" fontId="22" fillId="6" borderId="0" xfId="5" applyNumberFormat="1" applyFont="1" applyFill="1" applyAlignment="1">
      <alignment horizontal="right"/>
    </xf>
    <xf numFmtId="0" fontId="21" fillId="6" borderId="0" xfId="0" applyFont="1" applyFill="1"/>
    <xf numFmtId="0" fontId="0" fillId="4" borderId="0" xfId="0" applyFill="1"/>
    <xf numFmtId="0" fontId="21" fillId="0" borderId="0" xfId="0" applyFont="1"/>
    <xf numFmtId="0" fontId="16" fillId="0" borderId="5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165" fontId="16" fillId="0" borderId="7" xfId="0" applyNumberFormat="1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5" fillId="6" borderId="9" xfId="0" applyFont="1" applyFill="1" applyBorder="1"/>
    <xf numFmtId="0" fontId="10" fillId="0" borderId="9" xfId="0" applyFont="1" applyBorder="1"/>
    <xf numFmtId="3" fontId="13" fillId="3" borderId="10" xfId="0" applyNumberFormat="1" applyFont="1" applyFill="1" applyBorder="1"/>
    <xf numFmtId="3" fontId="13" fillId="3" borderId="35" xfId="0" applyNumberFormat="1" applyFont="1" applyFill="1" applyBorder="1"/>
    <xf numFmtId="3" fontId="13" fillId="3" borderId="11" xfId="0" applyNumberFormat="1" applyFont="1" applyFill="1" applyBorder="1"/>
    <xf numFmtId="3" fontId="13" fillId="3" borderId="12" xfId="0" applyNumberFormat="1" applyFont="1" applyFill="1" applyBorder="1"/>
    <xf numFmtId="3" fontId="13" fillId="3" borderId="39" xfId="0" applyNumberFormat="1" applyFont="1" applyFill="1" applyBorder="1"/>
    <xf numFmtId="0" fontId="10" fillId="0" borderId="9" xfId="0" applyFont="1" applyBorder="1" applyAlignment="1">
      <alignment horizontal="left" indent="2"/>
    </xf>
    <xf numFmtId="0" fontId="17" fillId="7" borderId="9" xfId="0" applyFont="1" applyFill="1" applyBorder="1"/>
    <xf numFmtId="0" fontId="10" fillId="0" borderId="9" xfId="0" applyFont="1" applyBorder="1" applyAlignment="1">
      <alignment horizontal="left" indent="1"/>
    </xf>
    <xf numFmtId="3" fontId="9" fillId="0" borderId="10" xfId="0" applyNumberFormat="1" applyFont="1" applyBorder="1" applyAlignment="1">
      <alignment horizontal="right" indent="1"/>
    </xf>
    <xf numFmtId="3" fontId="9" fillId="0" borderId="35" xfId="0" applyNumberFormat="1" applyFont="1" applyBorder="1" applyAlignment="1">
      <alignment horizontal="right" indent="1"/>
    </xf>
    <xf numFmtId="3" fontId="9" fillId="0" borderId="11" xfId="0" applyNumberFormat="1" applyFont="1" applyBorder="1" applyAlignment="1">
      <alignment horizontal="right" indent="1"/>
    </xf>
    <xf numFmtId="3" fontId="9" fillId="0" borderId="12" xfId="0" applyNumberFormat="1" applyFont="1" applyBorder="1" applyAlignment="1">
      <alignment horizontal="right" indent="1"/>
    </xf>
    <xf numFmtId="3" fontId="9" fillId="0" borderId="39" xfId="0" applyNumberFormat="1" applyFont="1" applyBorder="1" applyAlignment="1">
      <alignment horizontal="right" indent="1"/>
    </xf>
    <xf numFmtId="167" fontId="13" fillId="4" borderId="13" xfId="0" applyNumberFormat="1" applyFont="1" applyFill="1" applyBorder="1"/>
    <xf numFmtId="0" fontId="18" fillId="0" borderId="0" xfId="0" applyFont="1"/>
    <xf numFmtId="169" fontId="6" fillId="0" borderId="30" xfId="0" applyNumberFormat="1" applyFont="1" applyBorder="1" applyAlignment="1">
      <alignment horizontal="center" vertical="center"/>
    </xf>
    <xf numFmtId="0" fontId="6" fillId="0" borderId="31" xfId="0" applyFont="1" applyBorder="1" applyAlignment="1">
      <alignment vertical="center"/>
    </xf>
    <xf numFmtId="0" fontId="6" fillId="0" borderId="31" xfId="0" applyFont="1" applyBorder="1" applyAlignment="1">
      <alignment horizontal="center" vertical="center"/>
    </xf>
    <xf numFmtId="4" fontId="6" fillId="0" borderId="31" xfId="0" applyNumberFormat="1" applyFont="1" applyBorder="1" applyAlignment="1">
      <alignment vertical="center"/>
    </xf>
    <xf numFmtId="165" fontId="6" fillId="0" borderId="31" xfId="0" applyNumberFormat="1" applyFont="1" applyBorder="1" applyAlignment="1">
      <alignment vertical="center"/>
    </xf>
    <xf numFmtId="165" fontId="6" fillId="0" borderId="54" xfId="0" applyNumberFormat="1" applyFont="1" applyBorder="1" applyAlignment="1">
      <alignment vertical="center"/>
    </xf>
    <xf numFmtId="4" fontId="4" fillId="0" borderId="6" xfId="0" applyNumberFormat="1" applyFont="1" applyBorder="1"/>
    <xf numFmtId="3" fontId="18" fillId="0" borderId="12" xfId="0" applyNumberFormat="1" applyFont="1" applyBorder="1" applyAlignment="1">
      <alignment horizontal="right" indent="1"/>
    </xf>
    <xf numFmtId="4" fontId="6" fillId="0" borderId="21" xfId="0" applyNumberFormat="1" applyFont="1" applyBorder="1"/>
    <xf numFmtId="173" fontId="6" fillId="0" borderId="0" xfId="0" applyNumberFormat="1" applyFont="1"/>
    <xf numFmtId="0" fontId="17" fillId="0" borderId="9" xfId="0" applyFont="1" applyBorder="1" applyAlignment="1">
      <alignment horizontal="left" indent="1"/>
    </xf>
    <xf numFmtId="165" fontId="24" fillId="0" borderId="0" xfId="0" applyNumberFormat="1" applyFont="1"/>
    <xf numFmtId="165" fontId="25" fillId="0" borderId="0" xfId="0" applyNumberFormat="1" applyFont="1"/>
    <xf numFmtId="169" fontId="6" fillId="0" borderId="0" xfId="0" applyNumberFormat="1" applyFont="1" applyAlignment="1">
      <alignment horizontal="center"/>
    </xf>
    <xf numFmtId="0" fontId="6" fillId="0" borderId="19" xfId="0" applyFont="1" applyBorder="1" applyAlignment="1">
      <alignment horizontal="center"/>
    </xf>
    <xf numFmtId="165" fontId="6" fillId="0" borderId="20" xfId="0" applyNumberFormat="1" applyFont="1" applyBorder="1"/>
    <xf numFmtId="0" fontId="6" fillId="0" borderId="11" xfId="0" applyFont="1" applyBorder="1" applyAlignment="1">
      <alignment horizontal="center"/>
    </xf>
    <xf numFmtId="165" fontId="6" fillId="0" borderId="12" xfId="0" applyNumberFormat="1" applyFont="1" applyBorder="1"/>
    <xf numFmtId="174" fontId="6" fillId="0" borderId="0" xfId="0" applyNumberFormat="1" applyFont="1"/>
    <xf numFmtId="14" fontId="6" fillId="0" borderId="20" xfId="0" applyNumberFormat="1" applyFont="1" applyBorder="1" applyAlignment="1">
      <alignment horizontal="right"/>
    </xf>
    <xf numFmtId="14" fontId="6" fillId="0" borderId="26" xfId="1" applyNumberFormat="1" applyFont="1" applyFill="1" applyBorder="1"/>
    <xf numFmtId="14" fontId="6" fillId="0" borderId="32" xfId="0" applyNumberFormat="1" applyFont="1" applyBorder="1" applyAlignment="1">
      <alignment horizontal="right" vertical="center"/>
    </xf>
    <xf numFmtId="0" fontId="4" fillId="2" borderId="27" xfId="0" applyFont="1" applyFill="1" applyBorder="1" applyAlignment="1">
      <alignment horizontal="center"/>
    </xf>
    <xf numFmtId="166" fontId="4" fillId="2" borderId="27" xfId="0" applyNumberFormat="1" applyFont="1" applyFill="1" applyBorder="1" applyAlignment="1">
      <alignment horizontal="center"/>
    </xf>
    <xf numFmtId="0" fontId="4" fillId="0" borderId="23" xfId="0" applyFont="1" applyBorder="1"/>
    <xf numFmtId="0" fontId="4" fillId="0" borderId="24" xfId="0" applyFont="1" applyBorder="1"/>
    <xf numFmtId="14" fontId="4" fillId="0" borderId="25" xfId="0" applyNumberFormat="1" applyFont="1" applyBorder="1"/>
    <xf numFmtId="0" fontId="4" fillId="0" borderId="25" xfId="0" applyFont="1" applyBorder="1"/>
    <xf numFmtId="4" fontId="4" fillId="0" borderId="25" xfId="0" applyNumberFormat="1" applyFont="1" applyBorder="1"/>
    <xf numFmtId="165" fontId="4" fillId="0" borderId="25" xfId="0" applyNumberFormat="1" applyFont="1" applyBorder="1"/>
    <xf numFmtId="14" fontId="4" fillId="0" borderId="26" xfId="0" applyNumberFormat="1" applyFont="1" applyBorder="1"/>
    <xf numFmtId="165" fontId="4" fillId="0" borderId="24" xfId="0" applyNumberFormat="1" applyFont="1" applyBorder="1"/>
    <xf numFmtId="4" fontId="4" fillId="0" borderId="24" xfId="0" applyNumberFormat="1" applyFont="1" applyBorder="1"/>
    <xf numFmtId="0" fontId="4" fillId="0" borderId="26" xfId="0" applyFont="1" applyBorder="1"/>
    <xf numFmtId="4" fontId="4" fillId="0" borderId="9" xfId="0" applyNumberFormat="1" applyFont="1" applyBorder="1"/>
    <xf numFmtId="0" fontId="4" fillId="0" borderId="13" xfId="0" applyFont="1" applyBorder="1"/>
    <xf numFmtId="0" fontId="4" fillId="0" borderId="14" xfId="0" applyFont="1" applyBorder="1"/>
    <xf numFmtId="14" fontId="4" fillId="0" borderId="15" xfId="0" applyNumberFormat="1" applyFont="1" applyBorder="1"/>
    <xf numFmtId="0" fontId="4" fillId="0" borderId="15" xfId="0" applyFont="1" applyBorder="1"/>
    <xf numFmtId="4" fontId="4" fillId="0" borderId="15" xfId="0" applyNumberFormat="1" applyFont="1" applyBorder="1"/>
    <xf numFmtId="165" fontId="4" fillId="0" borderId="15" xfId="0" applyNumberFormat="1" applyFont="1" applyBorder="1"/>
    <xf numFmtId="14" fontId="4" fillId="0" borderId="16" xfId="0" applyNumberFormat="1" applyFont="1" applyBorder="1"/>
    <xf numFmtId="165" fontId="4" fillId="0" borderId="14" xfId="0" applyNumberFormat="1" applyFont="1" applyBorder="1"/>
    <xf numFmtId="4" fontId="4" fillId="0" borderId="14" xfId="0" applyNumberFormat="1" applyFont="1" applyBorder="1"/>
    <xf numFmtId="0" fontId="4" fillId="0" borderId="16" xfId="0" applyFont="1" applyBorder="1"/>
    <xf numFmtId="4" fontId="4" fillId="0" borderId="13" xfId="0" applyNumberFormat="1" applyFont="1" applyBorder="1"/>
    <xf numFmtId="0" fontId="4" fillId="0" borderId="21" xfId="0" applyFont="1" applyBorder="1"/>
    <xf numFmtId="14" fontId="4" fillId="0" borderId="21" xfId="0" applyNumberFormat="1" applyFont="1" applyBorder="1"/>
    <xf numFmtId="4" fontId="4" fillId="0" borderId="21" xfId="0" applyNumberFormat="1" applyFont="1" applyBorder="1"/>
    <xf numFmtId="165" fontId="4" fillId="0" borderId="21" xfId="0" applyNumberFormat="1" applyFont="1" applyBorder="1"/>
    <xf numFmtId="0" fontId="6" fillId="0" borderId="13" xfId="0" applyFont="1" applyBorder="1"/>
    <xf numFmtId="164" fontId="6" fillId="0" borderId="16" xfId="1" applyFont="1" applyFill="1" applyBorder="1"/>
    <xf numFmtId="165" fontId="6" fillId="0" borderId="14" xfId="0" applyNumberFormat="1" applyFont="1" applyBorder="1"/>
    <xf numFmtId="4" fontId="6" fillId="0" borderId="14" xfId="0" applyNumberFormat="1" applyFont="1" applyBorder="1"/>
    <xf numFmtId="4" fontId="6" fillId="0" borderId="13" xfId="0" applyNumberFormat="1" applyFont="1" applyBorder="1"/>
    <xf numFmtId="14" fontId="6" fillId="0" borderId="0" xfId="1" applyNumberFormat="1" applyFont="1"/>
    <xf numFmtId="11" fontId="4" fillId="0" borderId="5" xfId="0" applyNumberFormat="1" applyFont="1" applyBorder="1" applyAlignment="1">
      <alignment horizontal="center"/>
    </xf>
    <xf numFmtId="11" fontId="4" fillId="0" borderId="6" xfId="0" applyNumberFormat="1" applyFont="1" applyBorder="1" applyAlignment="1">
      <alignment horizontal="center"/>
    </xf>
    <xf numFmtId="0" fontId="4" fillId="0" borderId="1" xfId="0" applyFont="1" applyBorder="1"/>
    <xf numFmtId="4" fontId="4" fillId="0" borderId="5" xfId="0" applyNumberFormat="1" applyFont="1" applyBorder="1"/>
    <xf numFmtId="0" fontId="6" fillId="0" borderId="18" xfId="0" applyFont="1" applyBorder="1" applyAlignment="1">
      <alignment horizontal="left"/>
    </xf>
    <xf numFmtId="14" fontId="6" fillId="0" borderId="19" xfId="0" applyNumberFormat="1" applyFont="1" applyBorder="1" applyAlignment="1">
      <alignment horizontal="right"/>
    </xf>
    <xf numFmtId="4" fontId="6" fillId="0" borderId="19" xfId="0" applyNumberFormat="1" applyFont="1" applyBorder="1" applyAlignment="1">
      <alignment horizontal="right"/>
    </xf>
    <xf numFmtId="165" fontId="6" fillId="0" borderId="19" xfId="0" applyNumberFormat="1" applyFont="1" applyBorder="1" applyAlignment="1">
      <alignment horizontal="right"/>
    </xf>
    <xf numFmtId="0" fontId="6" fillId="0" borderId="19" xfId="0" applyFont="1" applyBorder="1" applyAlignment="1">
      <alignment horizontal="left"/>
    </xf>
    <xf numFmtId="0" fontId="10" fillId="0" borderId="9" xfId="0" applyFont="1" applyBorder="1" applyAlignment="1">
      <alignment horizontal="left" indent="6"/>
    </xf>
    <xf numFmtId="14" fontId="6" fillId="0" borderId="7" xfId="0" applyNumberFormat="1" applyFont="1" applyBorder="1" applyAlignment="1">
      <alignment horizontal="right"/>
    </xf>
    <xf numFmtId="16" fontId="10" fillId="0" borderId="0" xfId="0" applyNumberFormat="1" applyFont="1"/>
    <xf numFmtId="0" fontId="28" fillId="0" borderId="0" xfId="0" applyFont="1"/>
    <xf numFmtId="165" fontId="29" fillId="0" borderId="7" xfId="0" applyNumberFormat="1" applyFont="1" applyBorder="1"/>
    <xf numFmtId="165" fontId="28" fillId="0" borderId="7" xfId="0" applyNumberFormat="1" applyFont="1" applyBorder="1"/>
    <xf numFmtId="0" fontId="28" fillId="0" borderId="0" xfId="0" applyFont="1" applyAlignment="1">
      <alignment horizontal="center"/>
    </xf>
    <xf numFmtId="165" fontId="28" fillId="0" borderId="7" xfId="0" applyNumberFormat="1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28" fillId="0" borderId="5" xfId="0" applyFont="1" applyBorder="1" applyAlignment="1">
      <alignment horizontal="center"/>
    </xf>
    <xf numFmtId="0" fontId="29" fillId="0" borderId="0" xfId="0" applyFont="1"/>
    <xf numFmtId="165" fontId="6" fillId="0" borderId="16" xfId="0" applyNumberFormat="1" applyFont="1" applyBorder="1"/>
    <xf numFmtId="164" fontId="10" fillId="0" borderId="0" xfId="1" applyFont="1" applyFill="1"/>
    <xf numFmtId="165" fontId="28" fillId="0" borderId="0" xfId="0" applyNumberFormat="1" applyFont="1"/>
    <xf numFmtId="14" fontId="2" fillId="0" borderId="18" xfId="0" applyNumberFormat="1" applyFont="1" applyBorder="1" applyAlignment="1">
      <alignment horizontal="right"/>
    </xf>
    <xf numFmtId="3" fontId="2" fillId="0" borderId="16" xfId="0" applyNumberFormat="1" applyFont="1" applyBorder="1"/>
    <xf numFmtId="14" fontId="2" fillId="0" borderId="14" xfId="0" applyNumberFormat="1" applyFont="1" applyBorder="1" applyAlignment="1">
      <alignment horizontal="right"/>
    </xf>
    <xf numFmtId="3" fontId="6" fillId="0" borderId="15" xfId="0" applyNumberFormat="1" applyFont="1" applyBorder="1" applyAlignment="1">
      <alignment horizontal="right"/>
    </xf>
    <xf numFmtId="3" fontId="5" fillId="9" borderId="7" xfId="0" applyNumberFormat="1" applyFont="1" applyFill="1" applyBorder="1" applyAlignment="1">
      <alignment horizontal="right"/>
    </xf>
    <xf numFmtId="3" fontId="2" fillId="0" borderId="19" xfId="0" applyNumberFormat="1" applyFont="1" applyBorder="1" applyAlignment="1">
      <alignment horizontal="right"/>
    </xf>
    <xf numFmtId="14" fontId="6" fillId="0" borderId="14" xfId="0" applyNumberFormat="1" applyFont="1" applyBorder="1" applyAlignment="1">
      <alignment horizontal="right"/>
    </xf>
    <xf numFmtId="3" fontId="2" fillId="0" borderId="15" xfId="0" applyNumberFormat="1" applyFont="1" applyBorder="1" applyAlignment="1">
      <alignment horizontal="right"/>
    </xf>
    <xf numFmtId="0" fontId="6" fillId="0" borderId="0" xfId="0" applyFont="1" applyAlignment="1">
      <alignment horizontal="left" vertical="center"/>
    </xf>
    <xf numFmtId="167" fontId="9" fillId="5" borderId="13" xfId="0" applyNumberFormat="1" applyFont="1" applyFill="1" applyBorder="1" applyAlignment="1">
      <alignment horizontal="center"/>
    </xf>
    <xf numFmtId="165" fontId="6" fillId="0" borderId="55" xfId="0" applyNumberFormat="1" applyFont="1" applyBorder="1"/>
    <xf numFmtId="167" fontId="9" fillId="5" borderId="14" xfId="0" applyNumberFormat="1" applyFont="1" applyFill="1" applyBorder="1" applyAlignment="1">
      <alignment horizontal="center"/>
    </xf>
    <xf numFmtId="167" fontId="9" fillId="5" borderId="15" xfId="0" applyNumberFormat="1" applyFont="1" applyFill="1" applyBorder="1" applyAlignment="1">
      <alignment horizontal="center"/>
    </xf>
    <xf numFmtId="167" fontId="9" fillId="5" borderId="16" xfId="0" applyNumberFormat="1" applyFont="1" applyFill="1" applyBorder="1" applyAlignment="1">
      <alignment horizontal="center"/>
    </xf>
    <xf numFmtId="3" fontId="15" fillId="6" borderId="27" xfId="0" applyNumberFormat="1" applyFont="1" applyFill="1" applyBorder="1"/>
    <xf numFmtId="3" fontId="15" fillId="6" borderId="5" xfId="0" applyNumberFormat="1" applyFont="1" applyFill="1" applyBorder="1"/>
    <xf numFmtId="3" fontId="15" fillId="6" borderId="6" xfId="0" applyNumberFormat="1" applyFont="1" applyFill="1" applyBorder="1"/>
    <xf numFmtId="3" fontId="15" fillId="6" borderId="7" xfId="0" applyNumberFormat="1" applyFont="1" applyFill="1" applyBorder="1"/>
    <xf numFmtId="3" fontId="18" fillId="7" borderId="11" xfId="0" applyNumberFormat="1" applyFont="1" applyFill="1" applyBorder="1"/>
    <xf numFmtId="14" fontId="10" fillId="0" borderId="0" xfId="0" applyNumberFormat="1" applyFont="1"/>
    <xf numFmtId="14" fontId="9" fillId="0" borderId="0" xfId="0" applyNumberFormat="1" applyFont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4" fontId="30" fillId="0" borderId="19" xfId="0" applyNumberFormat="1" applyFont="1" applyBorder="1"/>
    <xf numFmtId="4" fontId="30" fillId="0" borderId="15" xfId="0" applyNumberFormat="1" applyFont="1" applyBorder="1"/>
    <xf numFmtId="14" fontId="6" fillId="3" borderId="32" xfId="0" applyNumberFormat="1" applyFont="1" applyFill="1" applyBorder="1" applyAlignment="1">
      <alignment horizontal="right" vertical="center"/>
    </xf>
    <xf numFmtId="0" fontId="6" fillId="3" borderId="0" xfId="0" applyFont="1" applyFill="1" applyAlignment="1">
      <alignment horizontal="left" vertical="center"/>
    </xf>
    <xf numFmtId="4" fontId="6" fillId="3" borderId="0" xfId="0" applyNumberFormat="1" applyFont="1" applyFill="1" applyAlignment="1">
      <alignment vertical="center"/>
    </xf>
    <xf numFmtId="165" fontId="6" fillId="3" borderId="0" xfId="0" applyNumberFormat="1" applyFont="1" applyFill="1" applyAlignment="1">
      <alignment vertical="center"/>
    </xf>
    <xf numFmtId="165" fontId="6" fillId="3" borderId="0" xfId="0" applyNumberFormat="1" applyFont="1" applyFill="1"/>
    <xf numFmtId="165" fontId="6" fillId="3" borderId="55" xfId="0" applyNumberFormat="1" applyFont="1" applyFill="1" applyBorder="1" applyAlignment="1">
      <alignment vertical="center"/>
    </xf>
    <xf numFmtId="9" fontId="6" fillId="0" borderId="15" xfId="0" applyNumberFormat="1" applyFont="1" applyBorder="1"/>
    <xf numFmtId="170" fontId="6" fillId="0" borderId="16" xfId="0" applyNumberFormat="1" applyFont="1" applyBorder="1"/>
    <xf numFmtId="14" fontId="3" fillId="0" borderId="6" xfId="0" applyNumberFormat="1" applyFont="1" applyBorder="1"/>
    <xf numFmtId="14" fontId="3" fillId="0" borderId="7" xfId="0" applyNumberFormat="1" applyFont="1" applyBorder="1"/>
    <xf numFmtId="14" fontId="2" fillId="0" borderId="0" xfId="0" applyNumberFormat="1" applyFont="1"/>
    <xf numFmtId="0" fontId="6" fillId="0" borderId="62" xfId="0" applyFont="1" applyBorder="1"/>
    <xf numFmtId="0" fontId="6" fillId="0" borderId="1" xfId="0" applyFont="1" applyBorder="1"/>
    <xf numFmtId="4" fontId="4" fillId="0" borderId="62" xfId="0" applyNumberFormat="1" applyFont="1" applyBorder="1"/>
    <xf numFmtId="0" fontId="6" fillId="0" borderId="4" xfId="0" applyFont="1" applyBorder="1"/>
    <xf numFmtId="0" fontId="4" fillId="0" borderId="27" xfId="0" applyFont="1" applyBorder="1"/>
    <xf numFmtId="4" fontId="4" fillId="0" borderId="27" xfId="0" applyNumberFormat="1" applyFont="1" applyBorder="1"/>
    <xf numFmtId="165" fontId="4" fillId="0" borderId="27" xfId="0" applyNumberFormat="1" applyFont="1" applyBorder="1"/>
    <xf numFmtId="4" fontId="4" fillId="0" borderId="1" xfId="0" applyNumberFormat="1" applyFont="1" applyBorder="1"/>
    <xf numFmtId="165" fontId="4" fillId="0" borderId="1" xfId="0" applyNumberFormat="1" applyFont="1" applyBorder="1"/>
    <xf numFmtId="4" fontId="4" fillId="0" borderId="4" xfId="0" applyNumberFormat="1" applyFont="1" applyBorder="1"/>
    <xf numFmtId="3" fontId="18" fillId="0" borderId="12" xfId="0" applyNumberFormat="1" applyFont="1" applyBorder="1"/>
    <xf numFmtId="169" fontId="6" fillId="0" borderId="0" xfId="0" applyNumberFormat="1" applyFont="1" applyAlignment="1">
      <alignment horizontal="center" vertical="center"/>
    </xf>
    <xf numFmtId="165" fontId="16" fillId="0" borderId="0" xfId="0" applyNumberFormat="1" applyFont="1"/>
    <xf numFmtId="169" fontId="6" fillId="0" borderId="18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vertical="center"/>
    </xf>
    <xf numFmtId="0" fontId="6" fillId="0" borderId="19" xfId="0" applyFont="1" applyBorder="1" applyAlignment="1">
      <alignment horizontal="center" vertical="center"/>
    </xf>
    <xf numFmtId="4" fontId="6" fillId="0" borderId="19" xfId="0" applyNumberFormat="1" applyFont="1" applyBorder="1" applyAlignment="1">
      <alignment vertical="center"/>
    </xf>
    <xf numFmtId="165" fontId="6" fillId="0" borderId="19" xfId="0" applyNumberFormat="1" applyFont="1" applyBorder="1" applyAlignment="1">
      <alignment vertical="center"/>
    </xf>
    <xf numFmtId="165" fontId="6" fillId="0" borderId="20" xfId="0" applyNumberFormat="1" applyFont="1" applyBorder="1" applyAlignment="1">
      <alignment vertical="center"/>
    </xf>
    <xf numFmtId="169" fontId="6" fillId="0" borderId="10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4" fontId="6" fillId="0" borderId="11" xfId="0" applyNumberFormat="1" applyFont="1" applyBorder="1" applyAlignment="1">
      <alignment vertical="center"/>
    </xf>
    <xf numFmtId="165" fontId="6" fillId="0" borderId="11" xfId="0" applyNumberFormat="1" applyFont="1" applyBorder="1" applyAlignment="1">
      <alignment vertical="center"/>
    </xf>
    <xf numFmtId="165" fontId="6" fillId="0" borderId="12" xfId="0" applyNumberFormat="1" applyFont="1" applyBorder="1" applyAlignment="1">
      <alignment vertical="center"/>
    </xf>
    <xf numFmtId="169" fontId="6" fillId="0" borderId="14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4" fontId="6" fillId="0" borderId="15" xfId="0" applyNumberFormat="1" applyFont="1" applyBorder="1" applyAlignment="1">
      <alignment vertical="center"/>
    </xf>
    <xf numFmtId="165" fontId="6" fillId="0" borderId="15" xfId="0" applyNumberFormat="1" applyFont="1" applyBorder="1" applyAlignment="1">
      <alignment vertical="center"/>
    </xf>
    <xf numFmtId="165" fontId="6" fillId="0" borderId="16" xfId="0" applyNumberFormat="1" applyFont="1" applyBorder="1" applyAlignment="1">
      <alignment vertical="center"/>
    </xf>
    <xf numFmtId="14" fontId="3" fillId="0" borderId="18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left" vertical="center"/>
    </xf>
    <xf numFmtId="4" fontId="3" fillId="0" borderId="19" xfId="0" applyNumberFormat="1" applyFont="1" applyBorder="1" applyAlignment="1">
      <alignment vertical="center"/>
    </xf>
    <xf numFmtId="165" fontId="3" fillId="0" borderId="19" xfId="0" applyNumberFormat="1" applyFont="1" applyBorder="1" applyAlignment="1">
      <alignment vertical="center"/>
    </xf>
    <xf numFmtId="165" fontId="3" fillId="0" borderId="19" xfId="0" applyNumberFormat="1" applyFont="1" applyBorder="1"/>
    <xf numFmtId="165" fontId="3" fillId="0" borderId="20" xfId="0" applyNumberFormat="1" applyFont="1" applyBorder="1"/>
    <xf numFmtId="14" fontId="3" fillId="0" borderId="10" xfId="0" applyNumberFormat="1" applyFont="1" applyBorder="1" applyAlignment="1">
      <alignment horizontal="right" vertical="center"/>
    </xf>
    <xf numFmtId="0" fontId="3" fillId="0" borderId="11" xfId="0" applyFont="1" applyBorder="1" applyAlignment="1">
      <alignment horizontal="left" vertical="center"/>
    </xf>
    <xf numFmtId="4" fontId="3" fillId="0" borderId="11" xfId="0" applyNumberFormat="1" applyFont="1" applyBorder="1" applyAlignment="1">
      <alignment vertical="center"/>
    </xf>
    <xf numFmtId="165" fontId="3" fillId="0" borderId="11" xfId="0" applyNumberFormat="1" applyFont="1" applyBorder="1" applyAlignment="1">
      <alignment vertical="center"/>
    </xf>
    <xf numFmtId="165" fontId="3" fillId="0" borderId="11" xfId="0" applyNumberFormat="1" applyFont="1" applyBorder="1"/>
    <xf numFmtId="165" fontId="3" fillId="0" borderId="12" xfId="0" applyNumberFormat="1" applyFont="1" applyBorder="1"/>
    <xf numFmtId="14" fontId="6" fillId="0" borderId="10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left" vertical="center"/>
    </xf>
    <xf numFmtId="14" fontId="6" fillId="0" borderId="14" xfId="0" applyNumberFormat="1" applyFont="1" applyBorder="1" applyAlignment="1">
      <alignment horizontal="right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0" fillId="0" borderId="18" xfId="0" applyBorder="1"/>
    <xf numFmtId="0" fontId="0" fillId="0" borderId="10" xfId="0" applyBorder="1"/>
    <xf numFmtId="0" fontId="0" fillId="0" borderId="14" xfId="0" applyBorder="1"/>
    <xf numFmtId="0" fontId="0" fillId="0" borderId="28" xfId="0" applyBorder="1"/>
    <xf numFmtId="165" fontId="0" fillId="0" borderId="16" xfId="0" applyNumberFormat="1" applyBorder="1"/>
    <xf numFmtId="0" fontId="0" fillId="0" borderId="49" xfId="0" applyBorder="1"/>
    <xf numFmtId="165" fontId="0" fillId="0" borderId="51" xfId="0" applyNumberFormat="1" applyBorder="1"/>
    <xf numFmtId="165" fontId="0" fillId="0" borderId="20" xfId="0" applyNumberFormat="1" applyBorder="1"/>
    <xf numFmtId="165" fontId="0" fillId="0" borderId="12" xfId="0" applyNumberFormat="1" applyBorder="1"/>
    <xf numFmtId="0" fontId="16" fillId="0" borderId="18" xfId="0" applyFont="1" applyBorder="1"/>
    <xf numFmtId="0" fontId="16" fillId="0" borderId="20" xfId="0" applyFont="1" applyBorder="1"/>
    <xf numFmtId="0" fontId="16" fillId="0" borderId="14" xfId="0" applyFont="1" applyBorder="1"/>
    <xf numFmtId="0" fontId="16" fillId="0" borderId="16" xfId="0" applyFont="1" applyBorder="1"/>
    <xf numFmtId="14" fontId="16" fillId="0" borderId="0" xfId="0" applyNumberFormat="1" applyFont="1"/>
    <xf numFmtId="0" fontId="0" fillId="0" borderId="19" xfId="0" applyBorder="1"/>
    <xf numFmtId="165" fontId="0" fillId="0" borderId="19" xfId="0" applyNumberFormat="1" applyBorder="1"/>
    <xf numFmtId="0" fontId="0" fillId="0" borderId="11" xfId="0" applyBorder="1"/>
    <xf numFmtId="165" fontId="0" fillId="0" borderId="11" xfId="0" applyNumberFormat="1" applyBorder="1"/>
    <xf numFmtId="0" fontId="0" fillId="0" borderId="15" xfId="0" applyBorder="1"/>
    <xf numFmtId="165" fontId="0" fillId="0" borderId="15" xfId="0" applyNumberFormat="1" applyBorder="1"/>
    <xf numFmtId="165" fontId="16" fillId="0" borderId="6" xfId="0" applyNumberFormat="1" applyFont="1" applyBorder="1" applyAlignment="1">
      <alignment horizontal="center"/>
    </xf>
    <xf numFmtId="165" fontId="16" fillId="0" borderId="42" xfId="0" applyNumberFormat="1" applyFont="1" applyBorder="1" applyAlignment="1">
      <alignment horizontal="center"/>
    </xf>
    <xf numFmtId="165" fontId="0" fillId="0" borderId="47" xfId="0" applyNumberFormat="1" applyBorder="1"/>
    <xf numFmtId="165" fontId="0" fillId="0" borderId="38" xfId="0" applyNumberFormat="1" applyBorder="1"/>
    <xf numFmtId="165" fontId="0" fillId="0" borderId="40" xfId="0" applyNumberFormat="1" applyBorder="1"/>
    <xf numFmtId="0" fontId="16" fillId="0" borderId="2" xfId="0" applyFont="1" applyBorder="1"/>
    <xf numFmtId="165" fontId="16" fillId="0" borderId="43" xfId="0" applyNumberFormat="1" applyFont="1" applyBorder="1"/>
    <xf numFmtId="14" fontId="0" fillId="4" borderId="0" xfId="0" applyNumberFormat="1" applyFill="1"/>
    <xf numFmtId="4" fontId="0" fillId="4" borderId="0" xfId="0" applyNumberFormat="1" applyFill="1"/>
    <xf numFmtId="4" fontId="16" fillId="0" borderId="0" xfId="0" applyNumberFormat="1" applyFont="1"/>
    <xf numFmtId="0" fontId="4" fillId="0" borderId="5" xfId="0" applyFont="1" applyBorder="1"/>
    <xf numFmtId="0" fontId="4" fillId="0" borderId="6" xfId="0" applyFont="1" applyBorder="1"/>
    <xf numFmtId="14" fontId="4" fillId="0" borderId="6" xfId="0" applyNumberFormat="1" applyFont="1" applyBorder="1"/>
    <xf numFmtId="14" fontId="4" fillId="0" borderId="0" xfId="0" applyNumberFormat="1" applyFont="1"/>
    <xf numFmtId="0" fontId="0" fillId="0" borderId="21" xfId="0" applyBorder="1"/>
    <xf numFmtId="0" fontId="0" fillId="0" borderId="33" xfId="0" applyBorder="1"/>
    <xf numFmtId="0" fontId="32" fillId="0" borderId="62" xfId="0" applyFont="1" applyBorder="1"/>
    <xf numFmtId="0" fontId="32" fillId="0" borderId="33" xfId="0" applyFont="1" applyBorder="1"/>
    <xf numFmtId="0" fontId="32" fillId="0" borderId="21" xfId="0" applyFont="1" applyBorder="1"/>
    <xf numFmtId="14" fontId="32" fillId="0" borderId="33" xfId="0" applyNumberFormat="1" applyFont="1" applyBorder="1" applyAlignment="1">
      <alignment horizontal="right"/>
    </xf>
    <xf numFmtId="0" fontId="0" fillId="0" borderId="55" xfId="0" applyBorder="1"/>
    <xf numFmtId="0" fontId="33" fillId="0" borderId="62" xfId="0" applyFont="1" applyBorder="1"/>
    <xf numFmtId="14" fontId="0" fillId="0" borderId="33" xfId="0" applyNumberFormat="1" applyBorder="1"/>
    <xf numFmtId="165" fontId="0" fillId="0" borderId="21" xfId="0" applyNumberFormat="1" applyBorder="1"/>
    <xf numFmtId="165" fontId="32" fillId="0" borderId="33" xfId="0" applyNumberFormat="1" applyFont="1" applyBorder="1" applyAlignment="1">
      <alignment horizontal="right"/>
    </xf>
    <xf numFmtId="165" fontId="31" fillId="0" borderId="33" xfId="0" applyNumberFormat="1" applyFont="1" applyBorder="1" applyAlignment="1">
      <alignment horizontal="right"/>
    </xf>
    <xf numFmtId="165" fontId="33" fillId="0" borderId="33" xfId="0" applyNumberFormat="1" applyFont="1" applyBorder="1" applyAlignment="1">
      <alignment horizontal="right"/>
    </xf>
    <xf numFmtId="0" fontId="4" fillId="0" borderId="49" xfId="0" applyFont="1" applyBorder="1" applyAlignment="1">
      <alignment horizontal="center"/>
    </xf>
    <xf numFmtId="0" fontId="4" fillId="0" borderId="50" xfId="0" applyFont="1" applyBorder="1" applyAlignment="1">
      <alignment horizontal="center"/>
    </xf>
    <xf numFmtId="4" fontId="6" fillId="0" borderId="19" xfId="0" applyNumberFormat="1" applyFont="1" applyBorder="1"/>
    <xf numFmtId="14" fontId="6" fillId="0" borderId="20" xfId="0" applyNumberFormat="1" applyFont="1" applyBorder="1"/>
    <xf numFmtId="2" fontId="6" fillId="0" borderId="18" xfId="0" applyNumberFormat="1" applyFont="1" applyBorder="1"/>
    <xf numFmtId="2" fontId="6" fillId="0" borderId="19" xfId="0" applyNumberFormat="1" applyFont="1" applyBorder="1"/>
    <xf numFmtId="2" fontId="6" fillId="0" borderId="14" xfId="0" applyNumberFormat="1" applyFont="1" applyBorder="1"/>
    <xf numFmtId="2" fontId="6" fillId="0" borderId="15" xfId="0" applyNumberFormat="1" applyFont="1" applyBorder="1"/>
    <xf numFmtId="2" fontId="6" fillId="0" borderId="16" xfId="0" applyNumberFormat="1" applyFont="1" applyBorder="1"/>
    <xf numFmtId="14" fontId="6" fillId="0" borderId="7" xfId="0" applyNumberFormat="1" applyFont="1" applyBorder="1"/>
    <xf numFmtId="4" fontId="6" fillId="4" borderId="0" xfId="0" applyNumberFormat="1" applyFont="1" applyFill="1"/>
    <xf numFmtId="165" fontId="5" fillId="9" borderId="5" xfId="0" applyNumberFormat="1" applyFont="1" applyFill="1" applyBorder="1" applyAlignment="1">
      <alignment horizontal="right"/>
    </xf>
    <xf numFmtId="165" fontId="5" fillId="9" borderId="6" xfId="0" applyNumberFormat="1" applyFont="1" applyFill="1" applyBorder="1" applyAlignment="1">
      <alignment horizontal="right"/>
    </xf>
    <xf numFmtId="165" fontId="4" fillId="9" borderId="7" xfId="0" applyNumberFormat="1" applyFont="1" applyFill="1" applyBorder="1" applyAlignment="1">
      <alignment horizontal="right"/>
    </xf>
    <xf numFmtId="0" fontId="11" fillId="8" borderId="2" xfId="0" applyFont="1" applyFill="1" applyBorder="1"/>
    <xf numFmtId="165" fontId="2" fillId="0" borderId="19" xfId="0" applyNumberFormat="1" applyFont="1" applyBorder="1" applyAlignment="1">
      <alignment horizontal="right"/>
    </xf>
    <xf numFmtId="165" fontId="2" fillId="0" borderId="20" xfId="0" applyNumberFormat="1" applyFont="1" applyBorder="1"/>
    <xf numFmtId="165" fontId="2" fillId="0" borderId="11" xfId="0" applyNumberFormat="1" applyFont="1" applyBorder="1" applyAlignment="1">
      <alignment horizontal="right"/>
    </xf>
    <xf numFmtId="165" fontId="2" fillId="0" borderId="12" xfId="0" applyNumberFormat="1" applyFont="1" applyBorder="1"/>
    <xf numFmtId="165" fontId="6" fillId="0" borderId="11" xfId="0" applyNumberFormat="1" applyFont="1" applyBorder="1" applyAlignment="1">
      <alignment horizontal="right"/>
    </xf>
    <xf numFmtId="165" fontId="2" fillId="0" borderId="15" xfId="0" applyNumberFormat="1" applyFont="1" applyBorder="1" applyAlignment="1">
      <alignment horizontal="right"/>
    </xf>
    <xf numFmtId="165" fontId="2" fillId="0" borderId="16" xfId="0" applyNumberFormat="1" applyFont="1" applyBorder="1"/>
    <xf numFmtId="3" fontId="6" fillId="0" borderId="47" xfId="0" applyNumberFormat="1" applyFont="1" applyBorder="1"/>
    <xf numFmtId="3" fontId="6" fillId="0" borderId="38" xfId="0" applyNumberFormat="1" applyFont="1" applyBorder="1"/>
    <xf numFmtId="3" fontId="6" fillId="0" borderId="52" xfId="0" applyNumberFormat="1" applyFont="1" applyBorder="1"/>
    <xf numFmtId="165" fontId="6" fillId="0" borderId="15" xfId="0" applyNumberFormat="1" applyFont="1" applyBorder="1" applyAlignment="1">
      <alignment horizontal="right"/>
    </xf>
    <xf numFmtId="14" fontId="2" fillId="0" borderId="10" xfId="0" applyNumberFormat="1" applyFont="1" applyBorder="1" applyAlignment="1">
      <alignment horizontal="right"/>
    </xf>
    <xf numFmtId="0" fontId="5" fillId="0" borderId="0" xfId="0" applyFont="1" applyAlignment="1">
      <alignment horizontal="center"/>
    </xf>
    <xf numFmtId="165" fontId="5" fillId="0" borderId="0" xfId="0" applyNumberFormat="1" applyFont="1" applyAlignment="1">
      <alignment horizontal="right"/>
    </xf>
    <xf numFmtId="3" fontId="18" fillId="0" borderId="35" xfId="0" applyNumberFormat="1" applyFont="1" applyBorder="1" applyAlignment="1">
      <alignment horizontal="center"/>
    </xf>
    <xf numFmtId="165" fontId="16" fillId="0" borderId="0" xfId="0" applyNumberFormat="1" applyFont="1" applyAlignment="1">
      <alignment horizontal="center"/>
    </xf>
    <xf numFmtId="0" fontId="16" fillId="12" borderId="10" xfId="0" applyFont="1" applyFill="1" applyBorder="1"/>
    <xf numFmtId="0" fontId="16" fillId="12" borderId="11" xfId="0" applyFont="1" applyFill="1" applyBorder="1"/>
    <xf numFmtId="165" fontId="16" fillId="12" borderId="11" xfId="0" applyNumberFormat="1" applyFont="1" applyFill="1" applyBorder="1"/>
    <xf numFmtId="165" fontId="16" fillId="12" borderId="38" xfId="0" applyNumberFormat="1" applyFont="1" applyFill="1" applyBorder="1"/>
    <xf numFmtId="165" fontId="16" fillId="12" borderId="12" xfId="0" applyNumberFormat="1" applyFont="1" applyFill="1" applyBorder="1"/>
    <xf numFmtId="165" fontId="1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0" fontId="5" fillId="0" borderId="0" xfId="0" applyFont="1"/>
    <xf numFmtId="165" fontId="5" fillId="0" borderId="0" xfId="0" applyNumberFormat="1" applyFont="1"/>
    <xf numFmtId="4" fontId="2" fillId="0" borderId="0" xfId="0" applyNumberFormat="1" applyFont="1"/>
    <xf numFmtId="0" fontId="2" fillId="0" borderId="32" xfId="0" applyFont="1" applyBorder="1"/>
    <xf numFmtId="165" fontId="5" fillId="0" borderId="55" xfId="0" applyNumberFormat="1" applyFont="1" applyBorder="1"/>
    <xf numFmtId="0" fontId="2" fillId="0" borderId="34" xfId="0" applyFont="1" applyBorder="1"/>
    <xf numFmtId="14" fontId="2" fillId="0" borderId="21" xfId="0" applyNumberFormat="1" applyFont="1" applyBorder="1"/>
    <xf numFmtId="4" fontId="2" fillId="0" borderId="21" xfId="0" applyNumberFormat="1" applyFont="1" applyBorder="1"/>
    <xf numFmtId="165" fontId="2" fillId="0" borderId="21" xfId="0" applyNumberFormat="1" applyFont="1" applyBorder="1"/>
    <xf numFmtId="0" fontId="2" fillId="0" borderId="21" xfId="0" applyFont="1" applyBorder="1"/>
    <xf numFmtId="0" fontId="2" fillId="0" borderId="30" xfId="0" applyFont="1" applyBorder="1"/>
    <xf numFmtId="14" fontId="2" fillId="0" borderId="31" xfId="0" applyNumberFormat="1" applyFont="1" applyBorder="1"/>
    <xf numFmtId="0" fontId="2" fillId="0" borderId="31" xfId="0" applyFont="1" applyBorder="1"/>
    <xf numFmtId="4" fontId="2" fillId="0" borderId="31" xfId="0" applyNumberFormat="1" applyFont="1" applyBorder="1"/>
    <xf numFmtId="165" fontId="2" fillId="0" borderId="31" xfId="0" applyNumberFormat="1" applyFont="1" applyBorder="1"/>
    <xf numFmtId="165" fontId="2" fillId="0" borderId="54" xfId="0" applyNumberFormat="1" applyFont="1" applyBorder="1"/>
    <xf numFmtId="165" fontId="2" fillId="0" borderId="55" xfId="0" applyNumberFormat="1" applyFont="1" applyBorder="1"/>
    <xf numFmtId="165" fontId="2" fillId="0" borderId="33" xfId="0" applyNumberFormat="1" applyFont="1" applyBorder="1"/>
    <xf numFmtId="0" fontId="5" fillId="0" borderId="30" xfId="0" applyFont="1" applyBorder="1"/>
    <xf numFmtId="0" fontId="5" fillId="0" borderId="31" xfId="0" applyFont="1" applyBorder="1"/>
    <xf numFmtId="4" fontId="5" fillId="0" borderId="31" xfId="0" applyNumberFormat="1" applyFont="1" applyBorder="1" applyAlignment="1">
      <alignment horizontal="center"/>
    </xf>
    <xf numFmtId="165" fontId="5" fillId="0" borderId="31" xfId="0" applyNumberFormat="1" applyFont="1" applyBorder="1" applyAlignment="1">
      <alignment horizontal="center"/>
    </xf>
    <xf numFmtId="165" fontId="5" fillId="0" borderId="31" xfId="0" applyNumberFormat="1" applyFont="1" applyBorder="1"/>
    <xf numFmtId="0" fontId="2" fillId="0" borderId="54" xfId="0" applyFont="1" applyBorder="1"/>
    <xf numFmtId="165" fontId="5" fillId="4" borderId="0" xfId="0" applyNumberFormat="1" applyFont="1" applyFill="1"/>
    <xf numFmtId="165" fontId="5" fillId="10" borderId="0" xfId="0" applyNumberFormat="1" applyFont="1" applyFill="1"/>
    <xf numFmtId="0" fontId="2" fillId="0" borderId="55" xfId="0" applyFont="1" applyBorder="1"/>
    <xf numFmtId="0" fontId="5" fillId="0" borderId="32" xfId="0" applyFont="1" applyBorder="1"/>
    <xf numFmtId="4" fontId="5" fillId="0" borderId="0" xfId="0" applyNumberFormat="1" applyFont="1"/>
    <xf numFmtId="0" fontId="5" fillId="0" borderId="21" xfId="0" applyFont="1" applyBorder="1"/>
    <xf numFmtId="165" fontId="5" fillId="11" borderId="21" xfId="0" applyNumberFormat="1" applyFont="1" applyFill="1" applyBorder="1"/>
    <xf numFmtId="165" fontId="4" fillId="4" borderId="0" xfId="0" applyNumberFormat="1" applyFont="1" applyFill="1"/>
    <xf numFmtId="165" fontId="4" fillId="0" borderId="55" xfId="0" applyNumberFormat="1" applyFont="1" applyBorder="1"/>
    <xf numFmtId="165" fontId="2" fillId="10" borderId="0" xfId="0" applyNumberFormat="1" applyFont="1" applyFill="1"/>
    <xf numFmtId="165" fontId="5" fillId="11" borderId="0" xfId="0" applyNumberFormat="1" applyFont="1" applyFill="1"/>
    <xf numFmtId="165" fontId="5" fillId="0" borderId="21" xfId="0" applyNumberFormat="1" applyFont="1" applyBorder="1"/>
    <xf numFmtId="0" fontId="2" fillId="0" borderId="33" xfId="0" applyFont="1" applyBorder="1"/>
    <xf numFmtId="14" fontId="3" fillId="0" borderId="15" xfId="0" applyNumberFormat="1" applyFont="1" applyBorder="1"/>
    <xf numFmtId="14" fontId="3" fillId="0" borderId="16" xfId="0" applyNumberFormat="1" applyFont="1" applyBorder="1"/>
    <xf numFmtId="0" fontId="2" fillId="0" borderId="14" xfId="0" applyFont="1" applyBorder="1"/>
    <xf numFmtId="0" fontId="2" fillId="0" borderId="16" xfId="0" applyFont="1" applyBorder="1"/>
    <xf numFmtId="0" fontId="2" fillId="0" borderId="45" xfId="0" applyFont="1" applyBorder="1"/>
    <xf numFmtId="0" fontId="2" fillId="0" borderId="48" xfId="0" applyFont="1" applyBorder="1"/>
    <xf numFmtId="0" fontId="2" fillId="0" borderId="53" xfId="0" applyFont="1" applyBorder="1"/>
    <xf numFmtId="0" fontId="2" fillId="0" borderId="26" xfId="0" applyFont="1" applyBorder="1"/>
    <xf numFmtId="0" fontId="6" fillId="0" borderId="45" xfId="0" applyFont="1" applyBorder="1"/>
    <xf numFmtId="0" fontId="6" fillId="0" borderId="20" xfId="0" applyFont="1" applyBorder="1"/>
    <xf numFmtId="0" fontId="6" fillId="0" borderId="48" xfId="0" applyFont="1" applyBorder="1"/>
    <xf numFmtId="0" fontId="6" fillId="0" borderId="12" xfId="0" applyFont="1" applyBorder="1"/>
    <xf numFmtId="0" fontId="6" fillId="0" borderId="53" xfId="0" applyFont="1" applyBorder="1"/>
    <xf numFmtId="3" fontId="2" fillId="0" borderId="19" xfId="0" applyNumberFormat="1" applyFont="1" applyBorder="1"/>
    <xf numFmtId="3" fontId="2" fillId="0" borderId="15" xfId="0" applyNumberFormat="1" applyFont="1" applyBorder="1"/>
    <xf numFmtId="3" fontId="2" fillId="0" borderId="11" xfId="0" applyNumberFormat="1" applyFont="1" applyBorder="1"/>
    <xf numFmtId="3" fontId="6" fillId="0" borderId="19" xfId="0" applyNumberFormat="1" applyFont="1" applyBorder="1"/>
    <xf numFmtId="3" fontId="6" fillId="0" borderId="11" xfId="0" applyNumberFormat="1" applyFont="1" applyBorder="1"/>
    <xf numFmtId="3" fontId="6" fillId="0" borderId="15" xfId="0" applyNumberFormat="1" applyFont="1" applyBorder="1"/>
    <xf numFmtId="14" fontId="2" fillId="0" borderId="19" xfId="0" applyNumberFormat="1" applyFont="1" applyBorder="1"/>
    <xf numFmtId="14" fontId="2" fillId="0" borderId="15" xfId="0" applyNumberFormat="1" applyFont="1" applyBorder="1"/>
    <xf numFmtId="14" fontId="2" fillId="0" borderId="11" xfId="0" applyNumberFormat="1" applyFont="1" applyBorder="1"/>
    <xf numFmtId="3" fontId="2" fillId="0" borderId="20" xfId="0" applyNumberFormat="1" applyFont="1" applyBorder="1" applyAlignment="1">
      <alignment horizontal="right"/>
    </xf>
    <xf numFmtId="3" fontId="2" fillId="0" borderId="16" xfId="0" applyNumberFormat="1" applyFont="1" applyBorder="1" applyAlignment="1">
      <alignment horizontal="right"/>
    </xf>
    <xf numFmtId="3" fontId="2" fillId="0" borderId="12" xfId="0" applyNumberFormat="1" applyFont="1" applyBorder="1" applyAlignment="1">
      <alignment horizontal="right"/>
    </xf>
    <xf numFmtId="3" fontId="6" fillId="0" borderId="20" xfId="0" applyNumberFormat="1" applyFont="1" applyBorder="1" applyAlignment="1">
      <alignment horizontal="right"/>
    </xf>
    <xf numFmtId="3" fontId="6" fillId="0" borderId="12" xfId="0" applyNumberFormat="1" applyFont="1" applyBorder="1" applyAlignment="1">
      <alignment horizontal="right"/>
    </xf>
    <xf numFmtId="3" fontId="6" fillId="0" borderId="16" xfId="0" applyNumberFormat="1" applyFont="1" applyBorder="1" applyAlignment="1">
      <alignment horizontal="right"/>
    </xf>
    <xf numFmtId="165" fontId="2" fillId="10" borderId="21" xfId="0" applyNumberFormat="1" applyFont="1" applyFill="1" applyBorder="1"/>
    <xf numFmtId="4" fontId="3" fillId="0" borderId="0" xfId="0" applyNumberFormat="1" applyFont="1"/>
    <xf numFmtId="0" fontId="6" fillId="4" borderId="23" xfId="0" applyFont="1" applyFill="1" applyBorder="1"/>
    <xf numFmtId="0" fontId="6" fillId="4" borderId="24" xfId="0" applyFont="1" applyFill="1" applyBorder="1"/>
    <xf numFmtId="14" fontId="6" fillId="4" borderId="25" xfId="0" applyNumberFormat="1" applyFont="1" applyFill="1" applyBorder="1"/>
    <xf numFmtId="0" fontId="6" fillId="4" borderId="25" xfId="0" applyFont="1" applyFill="1" applyBorder="1"/>
    <xf numFmtId="4" fontId="6" fillId="4" borderId="25" xfId="0" applyNumberFormat="1" applyFont="1" applyFill="1" applyBorder="1"/>
    <xf numFmtId="165" fontId="6" fillId="4" borderId="25" xfId="0" applyNumberFormat="1" applyFont="1" applyFill="1" applyBorder="1"/>
    <xf numFmtId="14" fontId="6" fillId="4" borderId="26" xfId="1" applyNumberFormat="1" applyFont="1" applyFill="1" applyBorder="1"/>
    <xf numFmtId="165" fontId="6" fillId="4" borderId="24" xfId="0" applyNumberFormat="1" applyFont="1" applyFill="1" applyBorder="1"/>
    <xf numFmtId="14" fontId="6" fillId="4" borderId="26" xfId="0" applyNumberFormat="1" applyFont="1" applyFill="1" applyBorder="1"/>
    <xf numFmtId="4" fontId="6" fillId="4" borderId="24" xfId="0" applyNumberFormat="1" applyFont="1" applyFill="1" applyBorder="1"/>
    <xf numFmtId="4" fontId="6" fillId="4" borderId="23" xfId="0" applyNumberFormat="1" applyFont="1" applyFill="1" applyBorder="1"/>
    <xf numFmtId="0" fontId="5" fillId="0" borderId="31" xfId="0" applyFont="1" applyBorder="1" applyAlignment="1">
      <alignment horizontal="center"/>
    </xf>
    <xf numFmtId="0" fontId="6" fillId="4" borderId="26" xfId="0" applyFont="1" applyFill="1" applyBorder="1"/>
    <xf numFmtId="9" fontId="2" fillId="0" borderId="0" xfId="0" applyNumberFormat="1" applyFont="1"/>
    <xf numFmtId="165" fontId="6" fillId="10" borderId="0" xfId="0" applyNumberFormat="1" applyFont="1" applyFill="1"/>
    <xf numFmtId="0" fontId="2" fillId="10" borderId="0" xfId="0" applyFont="1" applyFill="1"/>
    <xf numFmtId="165" fontId="2" fillId="10" borderId="31" xfId="0" applyNumberFormat="1" applyFont="1" applyFill="1" applyBorder="1"/>
    <xf numFmtId="0" fontId="2" fillId="4" borderId="18" xfId="0" applyFont="1" applyFill="1" applyBorder="1"/>
    <xf numFmtId="3" fontId="2" fillId="4" borderId="19" xfId="0" applyNumberFormat="1" applyFont="1" applyFill="1" applyBorder="1"/>
    <xf numFmtId="14" fontId="2" fillId="4" borderId="19" xfId="0" applyNumberFormat="1" applyFont="1" applyFill="1" applyBorder="1"/>
    <xf numFmtId="3" fontId="2" fillId="4" borderId="19" xfId="0" applyNumberFormat="1" applyFont="1" applyFill="1" applyBorder="1" applyAlignment="1">
      <alignment horizontal="right"/>
    </xf>
    <xf numFmtId="3" fontId="2" fillId="4" borderId="20" xfId="0" applyNumberFormat="1" applyFont="1" applyFill="1" applyBorder="1" applyAlignment="1">
      <alignment horizontal="right"/>
    </xf>
    <xf numFmtId="3" fontId="6" fillId="4" borderId="10" xfId="0" applyNumberFormat="1" applyFont="1" applyFill="1" applyBorder="1" applyAlignment="1">
      <alignment horizontal="center"/>
    </xf>
    <xf numFmtId="3" fontId="6" fillId="4" borderId="12" xfId="0" applyNumberFormat="1" applyFont="1" applyFill="1" applyBorder="1" applyAlignment="1">
      <alignment horizontal="center"/>
    </xf>
    <xf numFmtId="0" fontId="2" fillId="4" borderId="14" xfId="0" applyFont="1" applyFill="1" applyBorder="1"/>
    <xf numFmtId="3" fontId="2" fillId="4" borderId="15" xfId="0" applyNumberFormat="1" applyFont="1" applyFill="1" applyBorder="1"/>
    <xf numFmtId="14" fontId="2" fillId="4" borderId="15" xfId="0" applyNumberFormat="1" applyFont="1" applyFill="1" applyBorder="1"/>
    <xf numFmtId="3" fontId="2" fillId="4" borderId="15" xfId="0" applyNumberFormat="1" applyFont="1" applyFill="1" applyBorder="1" applyAlignment="1">
      <alignment horizontal="right"/>
    </xf>
    <xf numFmtId="3" fontId="2" fillId="4" borderId="16" xfId="0" applyNumberFormat="1" applyFont="1" applyFill="1" applyBorder="1" applyAlignment="1">
      <alignment horizontal="right"/>
    </xf>
    <xf numFmtId="0" fontId="2" fillId="4" borderId="16" xfId="0" applyFont="1" applyFill="1" applyBorder="1"/>
    <xf numFmtId="3" fontId="17" fillId="0" borderId="10" xfId="0" applyNumberFormat="1" applyFont="1" applyBorder="1" applyAlignment="1">
      <alignment horizontal="right" indent="1"/>
    </xf>
    <xf numFmtId="3" fontId="12" fillId="0" borderId="39" xfId="0" applyNumberFormat="1" applyFont="1" applyBorder="1" applyAlignment="1">
      <alignment horizontal="right" indent="1"/>
    </xf>
    <xf numFmtId="3" fontId="17" fillId="0" borderId="12" xfId="0" applyNumberFormat="1" applyFont="1" applyBorder="1" applyAlignment="1">
      <alignment horizontal="right" indent="1"/>
    </xf>
    <xf numFmtId="3" fontId="12" fillId="0" borderId="12" xfId="0" applyNumberFormat="1" applyFont="1" applyBorder="1" applyAlignment="1">
      <alignment horizontal="right" indent="1"/>
    </xf>
    <xf numFmtId="4" fontId="4" fillId="0" borderId="11" xfId="0" applyNumberFormat="1" applyFont="1" applyBorder="1"/>
    <xf numFmtId="14" fontId="6" fillId="0" borderId="12" xfId="0" applyNumberFormat="1" applyFont="1" applyBorder="1"/>
    <xf numFmtId="14" fontId="6" fillId="0" borderId="16" xfId="0" applyNumberFormat="1" applyFont="1" applyBorder="1"/>
    <xf numFmtId="14" fontId="6" fillId="0" borderId="26" xfId="0" applyNumberFormat="1" applyFont="1" applyBorder="1" applyAlignment="1">
      <alignment horizontal="right"/>
    </xf>
    <xf numFmtId="0" fontId="3" fillId="0" borderId="0" xfId="0" applyFont="1"/>
    <xf numFmtId="14" fontId="3" fillId="0" borderId="0" xfId="0" applyNumberFormat="1" applyFont="1"/>
    <xf numFmtId="168" fontId="3" fillId="0" borderId="0" xfId="0" applyNumberFormat="1" applyFont="1"/>
    <xf numFmtId="3" fontId="6" fillId="4" borderId="19" xfId="0" applyNumberFormat="1" applyFont="1" applyFill="1" applyBorder="1" applyAlignment="1">
      <alignment horizontal="right"/>
    </xf>
    <xf numFmtId="0" fontId="2" fillId="4" borderId="45" xfId="0" applyFont="1" applyFill="1" applyBorder="1"/>
    <xf numFmtId="0" fontId="2" fillId="4" borderId="20" xfId="0" applyFont="1" applyFill="1" applyBorder="1"/>
    <xf numFmtId="0" fontId="2" fillId="4" borderId="10" xfId="0" applyFont="1" applyFill="1" applyBorder="1"/>
    <xf numFmtId="3" fontId="2" fillId="4" borderId="11" xfId="0" applyNumberFormat="1" applyFont="1" applyFill="1" applyBorder="1"/>
    <xf numFmtId="14" fontId="2" fillId="4" borderId="11" xfId="0" applyNumberFormat="1" applyFont="1" applyFill="1" applyBorder="1"/>
    <xf numFmtId="3" fontId="6" fillId="4" borderId="11" xfId="0" applyNumberFormat="1" applyFont="1" applyFill="1" applyBorder="1" applyAlignment="1">
      <alignment horizontal="right"/>
    </xf>
    <xf numFmtId="3" fontId="2" fillId="4" borderId="12" xfId="0" applyNumberFormat="1" applyFont="1" applyFill="1" applyBorder="1" applyAlignment="1">
      <alignment horizontal="right"/>
    </xf>
    <xf numFmtId="0" fontId="2" fillId="4" borderId="48" xfId="0" applyFont="1" applyFill="1" applyBorder="1"/>
    <xf numFmtId="0" fontId="2" fillId="4" borderId="12" xfId="0" applyFont="1" applyFill="1" applyBorder="1"/>
    <xf numFmtId="0" fontId="2" fillId="4" borderId="53" xfId="0" applyFont="1" applyFill="1" applyBorder="1"/>
    <xf numFmtId="0" fontId="2" fillId="4" borderId="26" xfId="0" applyFont="1" applyFill="1" applyBorder="1"/>
    <xf numFmtId="3" fontId="6" fillId="4" borderId="15" xfId="0" applyNumberFormat="1" applyFont="1" applyFill="1" applyBorder="1" applyAlignment="1">
      <alignment horizontal="right"/>
    </xf>
    <xf numFmtId="0" fontId="16" fillId="0" borderId="0" xfId="0" applyFont="1" applyAlignment="1">
      <alignment horizontal="left" vertical="center"/>
    </xf>
    <xf numFmtId="165" fontId="0" fillId="0" borderId="6" xfId="0" applyNumberFormat="1" applyBorder="1"/>
    <xf numFmtId="165" fontId="0" fillId="0" borderId="7" xfId="0" applyNumberFormat="1" applyBorder="1"/>
    <xf numFmtId="4" fontId="16" fillId="0" borderId="5" xfId="0" applyNumberFormat="1" applyFont="1" applyBorder="1" applyAlignment="1">
      <alignment horizontal="center" vertical="center"/>
    </xf>
    <xf numFmtId="165" fontId="16" fillId="0" borderId="6" xfId="0" applyNumberFormat="1" applyFont="1" applyBorder="1" applyAlignment="1">
      <alignment horizontal="center" vertical="center"/>
    </xf>
    <xf numFmtId="165" fontId="16" fillId="0" borderId="7" xfId="0" applyNumberFormat="1" applyFont="1" applyBorder="1" applyAlignment="1">
      <alignment horizontal="center" vertical="center"/>
    </xf>
    <xf numFmtId="4" fontId="0" fillId="0" borderId="45" xfId="0" applyNumberFormat="1" applyBorder="1"/>
    <xf numFmtId="4" fontId="0" fillId="0" borderId="64" xfId="0" applyNumberFormat="1" applyBorder="1"/>
    <xf numFmtId="4" fontId="0" fillId="0" borderId="48" xfId="0" applyNumberFormat="1" applyBorder="1"/>
    <xf numFmtId="4" fontId="0" fillId="0" borderId="46" xfId="0" applyNumberFormat="1" applyBorder="1"/>
    <xf numFmtId="0" fontId="16" fillId="0" borderId="27" xfId="0" applyFont="1" applyBorder="1" applyAlignment="1">
      <alignment horizontal="left" vertical="center"/>
    </xf>
    <xf numFmtId="0" fontId="6" fillId="0" borderId="32" xfId="0" applyFont="1" applyBorder="1" applyAlignment="1">
      <alignment horizontal="center"/>
    </xf>
    <xf numFmtId="0" fontId="6" fillId="0" borderId="55" xfId="0" applyFont="1" applyBorder="1" applyAlignment="1">
      <alignment horizontal="center"/>
    </xf>
    <xf numFmtId="165" fontId="4" fillId="0" borderId="4" xfId="0" applyNumberFormat="1" applyFont="1" applyBorder="1"/>
    <xf numFmtId="3" fontId="18" fillId="0" borderId="39" xfId="0" applyNumberFormat="1" applyFont="1" applyBorder="1"/>
    <xf numFmtId="4" fontId="6" fillId="3" borderId="23" xfId="0" applyNumberFormat="1" applyFont="1" applyFill="1" applyBorder="1"/>
    <xf numFmtId="3" fontId="15" fillId="6" borderId="42" xfId="0" applyNumberFormat="1" applyFont="1" applyFill="1" applyBorder="1" applyAlignment="1">
      <alignment horizontal="center"/>
    </xf>
    <xf numFmtId="3" fontId="10" fillId="0" borderId="19" xfId="0" applyNumberFormat="1" applyFont="1" applyBorder="1"/>
    <xf numFmtId="3" fontId="17" fillId="0" borderId="12" xfId="0" applyNumberFormat="1" applyFont="1" applyBorder="1"/>
    <xf numFmtId="3" fontId="12" fillId="0" borderId="12" xfId="0" applyNumberFormat="1" applyFont="1" applyBorder="1"/>
    <xf numFmtId="3" fontId="12" fillId="0" borderId="10" xfId="0" applyNumberFormat="1" applyFont="1" applyBorder="1"/>
    <xf numFmtId="3" fontId="17" fillId="7" borderId="24" xfId="0" applyNumberFormat="1" applyFont="1" applyFill="1" applyBorder="1"/>
    <xf numFmtId="0" fontId="6" fillId="3" borderId="10" xfId="0" applyFont="1" applyFill="1" applyBorder="1"/>
    <xf numFmtId="0" fontId="6" fillId="3" borderId="25" xfId="0" applyFont="1" applyFill="1" applyBorder="1"/>
    <xf numFmtId="4" fontId="6" fillId="3" borderId="25" xfId="0" applyNumberFormat="1" applyFont="1" applyFill="1" applyBorder="1"/>
    <xf numFmtId="165" fontId="6" fillId="3" borderId="25" xfId="0" applyNumberFormat="1" applyFont="1" applyFill="1" applyBorder="1"/>
    <xf numFmtId="14" fontId="6" fillId="3" borderId="25" xfId="0" applyNumberFormat="1" applyFont="1" applyFill="1" applyBorder="1"/>
    <xf numFmtId="14" fontId="6" fillId="3" borderId="26" xfId="0" applyNumberFormat="1" applyFont="1" applyFill="1" applyBorder="1" applyAlignment="1">
      <alignment horizontal="right"/>
    </xf>
    <xf numFmtId="16" fontId="0" fillId="0" borderId="0" xfId="0" applyNumberFormat="1"/>
    <xf numFmtId="3" fontId="9" fillId="5" borderId="6" xfId="0" applyNumberFormat="1" applyFont="1" applyFill="1" applyBorder="1" applyAlignment="1">
      <alignment horizontal="center"/>
    </xf>
    <xf numFmtId="3" fontId="9" fillId="5" borderId="42" xfId="0" applyNumberFormat="1" applyFont="1" applyFill="1" applyBorder="1" applyAlignment="1">
      <alignment horizontal="center"/>
    </xf>
    <xf numFmtId="3" fontId="9" fillId="5" borderId="7" xfId="0" applyNumberFormat="1" applyFont="1" applyFill="1" applyBorder="1" applyAlignment="1">
      <alignment horizontal="center"/>
    </xf>
    <xf numFmtId="3" fontId="9" fillId="5" borderId="2" xfId="0" applyNumberFormat="1" applyFont="1" applyFill="1" applyBorder="1" applyAlignment="1">
      <alignment horizontal="center"/>
    </xf>
    <xf numFmtId="3" fontId="9" fillId="5" borderId="43" xfId="0" applyNumberFormat="1" applyFont="1" applyFill="1" applyBorder="1" applyAlignment="1">
      <alignment horizontal="center"/>
    </xf>
    <xf numFmtId="0" fontId="4" fillId="0" borderId="49" xfId="0" applyFont="1" applyBorder="1" applyAlignment="1">
      <alignment horizontal="center"/>
    </xf>
    <xf numFmtId="0" fontId="4" fillId="0" borderId="50" xfId="0" applyFont="1" applyBorder="1" applyAlignment="1">
      <alignment horizontal="center"/>
    </xf>
    <xf numFmtId="0" fontId="6" fillId="0" borderId="8" xfId="0" applyFont="1" applyBorder="1" applyAlignment="1">
      <alignment horizontal="left" vertical="center"/>
    </xf>
    <xf numFmtId="0" fontId="6" fillId="0" borderId="61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22" xfId="0" applyFont="1" applyBorder="1" applyAlignment="1">
      <alignment horizontal="left" vertical="center"/>
    </xf>
    <xf numFmtId="0" fontId="6" fillId="0" borderId="56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4" fontId="6" fillId="0" borderId="22" xfId="0" applyNumberFormat="1" applyFont="1" applyBorder="1" applyAlignment="1">
      <alignment horizontal="right" vertical="center"/>
    </xf>
    <xf numFmtId="4" fontId="6" fillId="0" borderId="56" xfId="0" applyNumberFormat="1" applyFont="1" applyBorder="1" applyAlignment="1">
      <alignment horizontal="right" vertical="center"/>
    </xf>
    <xf numFmtId="4" fontId="6" fillId="0" borderId="37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20" fillId="0" borderId="2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43" xfId="0" applyFont="1" applyBorder="1" applyAlignment="1">
      <alignment horizontal="center"/>
    </xf>
    <xf numFmtId="0" fontId="20" fillId="9" borderId="5" xfId="0" applyFont="1" applyFill="1" applyBorder="1" applyAlignment="1">
      <alignment horizontal="center"/>
    </xf>
    <xf numFmtId="0" fontId="20" fillId="9" borderId="6" xfId="0" applyFont="1" applyFill="1" applyBorder="1" applyAlignment="1">
      <alignment horizontal="center"/>
    </xf>
    <xf numFmtId="0" fontId="20" fillId="9" borderId="42" xfId="0" applyFont="1" applyFill="1" applyBorder="1" applyAlignment="1">
      <alignment horizontal="center"/>
    </xf>
    <xf numFmtId="0" fontId="20" fillId="9" borderId="7" xfId="0" applyFont="1" applyFill="1" applyBorder="1" applyAlignment="1">
      <alignment horizontal="center"/>
    </xf>
    <xf numFmtId="0" fontId="11" fillId="8" borderId="5" xfId="0" applyFont="1" applyFill="1" applyBorder="1" applyAlignment="1">
      <alignment horizontal="center"/>
    </xf>
    <xf numFmtId="0" fontId="11" fillId="8" borderId="6" xfId="0" applyFont="1" applyFill="1" applyBorder="1" applyAlignment="1">
      <alignment horizontal="center"/>
    </xf>
    <xf numFmtId="166" fontId="4" fillId="2" borderId="27" xfId="0" applyNumberFormat="1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/>
    </xf>
    <xf numFmtId="166" fontId="4" fillId="2" borderId="27" xfId="0" applyNumberFormat="1" applyFont="1" applyFill="1" applyBorder="1" applyAlignment="1">
      <alignment horizontal="center"/>
    </xf>
    <xf numFmtId="166" fontId="4" fillId="2" borderId="1" xfId="0" applyNumberFormat="1" applyFont="1" applyFill="1" applyBorder="1" applyAlignment="1">
      <alignment horizontal="center" vertical="center"/>
    </xf>
    <xf numFmtId="166" fontId="4" fillId="2" borderId="4" xfId="0" applyNumberFormat="1" applyFont="1" applyFill="1" applyBorder="1" applyAlignment="1">
      <alignment horizontal="center" vertical="center"/>
    </xf>
    <xf numFmtId="11" fontId="4" fillId="0" borderId="42" xfId="0" applyNumberFormat="1" applyFont="1" applyBorder="1" applyAlignment="1">
      <alignment horizontal="center"/>
    </xf>
    <xf numFmtId="11" fontId="4" fillId="0" borderId="43" xfId="0" applyNumberFormat="1" applyFont="1" applyBorder="1" applyAlignment="1">
      <alignment horizontal="center"/>
    </xf>
    <xf numFmtId="4" fontId="4" fillId="0" borderId="34" xfId="0" applyNumberFormat="1" applyFont="1" applyBorder="1" applyAlignment="1">
      <alignment horizontal="center"/>
    </xf>
    <xf numFmtId="4" fontId="4" fillId="0" borderId="33" xfId="0" applyNumberFormat="1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" fontId="4" fillId="0" borderId="62" xfId="0" applyNumberFormat="1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6" fillId="0" borderId="55" xfId="0" applyFont="1" applyBorder="1" applyAlignment="1">
      <alignment horizontal="center"/>
    </xf>
    <xf numFmtId="4" fontId="4" fillId="0" borderId="42" xfId="0" applyNumberFormat="1" applyFont="1" applyBorder="1" applyAlignment="1">
      <alignment horizontal="center"/>
    </xf>
    <xf numFmtId="4" fontId="4" fillId="0" borderId="43" xfId="0" applyNumberFormat="1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0" borderId="55" xfId="0" applyFont="1" applyBorder="1" applyAlignment="1">
      <alignment horizontal="center"/>
    </xf>
    <xf numFmtId="0" fontId="29" fillId="0" borderId="5" xfId="0" applyFont="1" applyBorder="1" applyAlignment="1">
      <alignment horizontal="center"/>
    </xf>
    <xf numFmtId="0" fontId="29" fillId="0" borderId="6" xfId="0" applyFont="1" applyBorder="1" applyAlignment="1">
      <alignment horizontal="center"/>
    </xf>
    <xf numFmtId="0" fontId="28" fillId="0" borderId="5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22" fillId="6" borderId="0" xfId="5" applyFont="1" applyFill="1" applyAlignment="1">
      <alignment horizontal="center"/>
    </xf>
    <xf numFmtId="169" fontId="6" fillId="0" borderId="10" xfId="0" applyNumberFormat="1" applyFont="1" applyBorder="1" applyAlignment="1">
      <alignment horizontal="left"/>
    </xf>
    <xf numFmtId="169" fontId="6" fillId="0" borderId="11" xfId="0" applyNumberFormat="1" applyFont="1" applyBorder="1" applyAlignment="1">
      <alignment horizontal="left"/>
    </xf>
    <xf numFmtId="4" fontId="6" fillId="0" borderId="38" xfId="0" applyNumberFormat="1" applyFont="1" applyBorder="1" applyAlignment="1">
      <alignment horizontal="center"/>
    </xf>
    <xf numFmtId="4" fontId="6" fillId="0" borderId="48" xfId="0" applyNumberFormat="1" applyFont="1" applyBorder="1" applyAlignment="1">
      <alignment horizontal="center"/>
    </xf>
    <xf numFmtId="169" fontId="4" fillId="0" borderId="0" xfId="0" applyNumberFormat="1" applyFont="1" applyAlignment="1">
      <alignment horizontal="center"/>
    </xf>
    <xf numFmtId="169" fontId="6" fillId="0" borderId="18" xfId="0" applyNumberFormat="1" applyFont="1" applyBorder="1" applyAlignment="1">
      <alignment horizontal="left"/>
    </xf>
    <xf numFmtId="169" fontId="6" fillId="0" borderId="19" xfId="0" applyNumberFormat="1" applyFont="1" applyBorder="1" applyAlignment="1">
      <alignment horizontal="left"/>
    </xf>
    <xf numFmtId="4" fontId="6" fillId="0" borderId="47" xfId="0" applyNumberFormat="1" applyFont="1" applyBorder="1" applyAlignment="1">
      <alignment horizontal="center"/>
    </xf>
    <xf numFmtId="4" fontId="6" fillId="0" borderId="45" xfId="0" applyNumberFormat="1" applyFont="1" applyBorder="1" applyAlignment="1">
      <alignment horizontal="center"/>
    </xf>
    <xf numFmtId="169" fontId="6" fillId="0" borderId="10" xfId="0" applyNumberFormat="1" applyFont="1" applyBorder="1" applyAlignment="1">
      <alignment horizontal="center"/>
    </xf>
    <xf numFmtId="169" fontId="6" fillId="0" borderId="11" xfId="0" applyNumberFormat="1" applyFont="1" applyBorder="1" applyAlignment="1">
      <alignment horizontal="center"/>
    </xf>
    <xf numFmtId="169" fontId="4" fillId="0" borderId="10" xfId="0" applyNumberFormat="1" applyFont="1" applyBorder="1" applyAlignment="1">
      <alignment horizontal="center"/>
    </xf>
    <xf numFmtId="169" fontId="4" fillId="0" borderId="11" xfId="0" applyNumberFormat="1" applyFont="1" applyBorder="1" applyAlignment="1">
      <alignment horizontal="center"/>
    </xf>
    <xf numFmtId="169" fontId="4" fillId="0" borderId="14" xfId="0" applyNumberFormat="1" applyFont="1" applyBorder="1" applyAlignment="1">
      <alignment horizontal="center"/>
    </xf>
    <xf numFmtId="169" fontId="4" fillId="0" borderId="15" xfId="0" applyNumberFormat="1" applyFont="1" applyBorder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1" xfId="0" applyFont="1" applyBorder="1" applyAlignment="1">
      <alignment horizontal="center" textRotation="90"/>
    </xf>
    <xf numFmtId="0" fontId="16" fillId="0" borderId="4" xfId="0" applyFont="1" applyBorder="1" applyAlignment="1">
      <alignment horizontal="center" textRotation="90"/>
    </xf>
    <xf numFmtId="0" fontId="16" fillId="0" borderId="62" xfId="0" applyFont="1" applyBorder="1" applyAlignment="1">
      <alignment horizontal="center" textRotation="90"/>
    </xf>
    <xf numFmtId="0" fontId="16" fillId="0" borderId="63" xfId="0" applyFont="1" applyBorder="1" applyAlignment="1">
      <alignment horizontal="center" vertical="center" wrapText="1"/>
    </xf>
    <xf numFmtId="0" fontId="16" fillId="0" borderId="57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43" xfId="0" applyFont="1" applyBorder="1" applyAlignment="1">
      <alignment horizontal="center"/>
    </xf>
    <xf numFmtId="165" fontId="0" fillId="0" borderId="0" xfId="0" applyNumberFormat="1" applyAlignment="1">
      <alignment horizontal="center"/>
    </xf>
    <xf numFmtId="0" fontId="6" fillId="0" borderId="0" xfId="0" applyFont="1" applyAlignment="1">
      <alignment horizontal="center"/>
    </xf>
    <xf numFmtId="4" fontId="6" fillId="0" borderId="0" xfId="0" applyNumberFormat="1" applyFont="1" applyAlignment="1">
      <alignment horizontal="center"/>
    </xf>
    <xf numFmtId="0" fontId="5" fillId="10" borderId="1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0" borderId="62" xfId="0" applyFont="1" applyFill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31" fillId="0" borderId="2" xfId="0" applyFont="1" applyBorder="1" applyAlignment="1">
      <alignment horizontal="center"/>
    </xf>
    <xf numFmtId="0" fontId="31" fillId="0" borderId="4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32" fillId="0" borderId="43" xfId="0" applyFont="1" applyBorder="1" applyAlignment="1">
      <alignment horizontal="center"/>
    </xf>
    <xf numFmtId="0" fontId="20" fillId="9" borderId="2" xfId="0" applyFont="1" applyFill="1" applyBorder="1" applyAlignment="1">
      <alignment horizontal="center"/>
    </xf>
    <xf numFmtId="0" fontId="20" fillId="9" borderId="43" xfId="0" applyFont="1" applyFill="1" applyBorder="1" applyAlignment="1">
      <alignment horizontal="center"/>
    </xf>
    <xf numFmtId="0" fontId="16" fillId="0" borderId="17" xfId="0" applyFont="1" applyBorder="1" applyAlignment="1">
      <alignment horizontal="left" vertical="center"/>
    </xf>
    <xf numFmtId="0" fontId="16" fillId="0" borderId="13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</cellXfs>
  <cellStyles count="7">
    <cellStyle name="Milliers" xfId="1" builtinId="3"/>
    <cellStyle name="Milliers 2" xfId="2" xr:uid="{00000000-0005-0000-0000-000001000000}"/>
    <cellStyle name="Normal" xfId="0" builtinId="0"/>
    <cellStyle name="Normal 2" xfId="3" xr:uid="{00000000-0005-0000-0000-000003000000}"/>
    <cellStyle name="Normal 3" xfId="6" xr:uid="{00000000-0005-0000-0000-000004000000}"/>
    <cellStyle name="Normal_NOUR" xfId="5" xr:uid="{00000000-0005-0000-0000-000005000000}"/>
    <cellStyle name="Pourcentage 2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91"/>
  <sheetViews>
    <sheetView topLeftCell="A40" zoomScale="80" zoomScaleNormal="80" workbookViewId="0">
      <selection activeCell="I85" sqref="I85"/>
    </sheetView>
  </sheetViews>
  <sheetFormatPr baseColWidth="10" defaultRowHeight="15" x14ac:dyDescent="0.25"/>
  <cols>
    <col min="1" max="1" width="32.42578125" style="6" bestFit="1" customWidth="1"/>
    <col min="2" max="10" width="16.85546875" style="23" customWidth="1"/>
    <col min="11" max="18" width="16.85546875" style="6" customWidth="1"/>
    <col min="19" max="19" width="11.42578125" style="6"/>
    <col min="20" max="20" width="12.85546875" style="6" bestFit="1" customWidth="1"/>
    <col min="21" max="21" width="21.85546875" style="6" customWidth="1"/>
    <col min="22" max="16384" width="11.42578125" style="6"/>
  </cols>
  <sheetData>
    <row r="1" spans="1:21" s="5" customFormat="1" thickBot="1" x14ac:dyDescent="0.25">
      <c r="B1" s="47" t="s">
        <v>65</v>
      </c>
      <c r="C1" s="644" t="s">
        <v>22</v>
      </c>
      <c r="D1" s="644"/>
      <c r="E1" s="644"/>
      <c r="F1" s="644"/>
      <c r="G1" s="645"/>
      <c r="H1" s="644" t="s">
        <v>23</v>
      </c>
      <c r="I1" s="644"/>
      <c r="J1" s="646"/>
      <c r="K1" s="47" t="s">
        <v>73</v>
      </c>
      <c r="L1" s="47" t="s">
        <v>74</v>
      </c>
      <c r="M1" s="47" t="s">
        <v>77</v>
      </c>
      <c r="N1" s="647" t="s">
        <v>317</v>
      </c>
      <c r="O1" s="648"/>
      <c r="P1" s="47" t="s">
        <v>421</v>
      </c>
      <c r="Q1" s="47" t="s">
        <v>1110</v>
      </c>
      <c r="R1" s="47" t="s">
        <v>92</v>
      </c>
    </row>
    <row r="2" spans="1:21" ht="15.75" thickBot="1" x14ac:dyDescent="0.3">
      <c r="B2" s="137" t="s">
        <v>63</v>
      </c>
      <c r="C2" s="63" t="s">
        <v>64</v>
      </c>
      <c r="D2" s="63" t="s">
        <v>1088</v>
      </c>
      <c r="E2" s="63" t="s">
        <v>63</v>
      </c>
      <c r="F2" s="63" t="s">
        <v>85</v>
      </c>
      <c r="G2" s="64" t="s">
        <v>86</v>
      </c>
      <c r="H2" s="62" t="s">
        <v>63</v>
      </c>
      <c r="I2" s="63" t="s">
        <v>85</v>
      </c>
      <c r="J2" s="64" t="s">
        <v>86</v>
      </c>
      <c r="K2" s="137" t="s">
        <v>63</v>
      </c>
      <c r="L2" s="137" t="s">
        <v>75</v>
      </c>
      <c r="M2" s="137" t="s">
        <v>75</v>
      </c>
      <c r="N2" s="62" t="s">
        <v>75</v>
      </c>
      <c r="O2" s="64" t="s">
        <v>85</v>
      </c>
      <c r="P2" s="137" t="s">
        <v>75</v>
      </c>
      <c r="Q2" s="137" t="s">
        <v>64</v>
      </c>
      <c r="R2" s="137" t="s">
        <v>75</v>
      </c>
    </row>
    <row r="3" spans="1:21" s="8" customFormat="1" ht="15.75" thickBot="1" x14ac:dyDescent="0.3">
      <c r="A3" s="7" t="s">
        <v>1415</v>
      </c>
      <c r="B3" s="332">
        <v>-335354.712</v>
      </c>
      <c r="C3" s="335">
        <v>3774.058</v>
      </c>
      <c r="D3" s="335">
        <v>58515.06</v>
      </c>
      <c r="E3" s="335">
        <v>-2491352.84</v>
      </c>
      <c r="F3" s="335">
        <v>356738.18</v>
      </c>
      <c r="G3" s="336">
        <v>13.73</v>
      </c>
      <c r="H3" s="334">
        <v>323754.326</v>
      </c>
      <c r="I3" s="335">
        <v>3.09</v>
      </c>
      <c r="J3" s="336">
        <v>21.54</v>
      </c>
      <c r="K3" s="332">
        <v>6166.6949999999997</v>
      </c>
      <c r="L3" s="332">
        <v>1541851.2790000001</v>
      </c>
      <c r="M3" s="332">
        <v>1568322.848</v>
      </c>
      <c r="N3" s="334">
        <v>-7699.6459999999997</v>
      </c>
      <c r="O3" s="336">
        <v>39.01</v>
      </c>
      <c r="P3" s="332">
        <v>117010.967</v>
      </c>
      <c r="Q3" s="332">
        <v>3752.43</v>
      </c>
      <c r="R3" s="332">
        <v>-75.388999999999996</v>
      </c>
    </row>
    <row r="4" spans="1:21" ht="15.75" thickBot="1" x14ac:dyDescent="0.3">
      <c r="A4" s="227" t="s">
        <v>26</v>
      </c>
      <c r="B4" s="337">
        <f t="shared" ref="B4:G4" si="0">SUM(B5:B8)</f>
        <v>88676.044999999998</v>
      </c>
      <c r="C4" s="338">
        <f t="shared" si="0"/>
        <v>0</v>
      </c>
      <c r="D4" s="339">
        <f t="shared" si="0"/>
        <v>0</v>
      </c>
      <c r="E4" s="339">
        <f t="shared" si="0"/>
        <v>23000</v>
      </c>
      <c r="F4" s="339">
        <f t="shared" si="0"/>
        <v>0</v>
      </c>
      <c r="G4" s="340">
        <f t="shared" si="0"/>
        <v>0</v>
      </c>
      <c r="H4" s="338">
        <f t="shared" ref="H4:N4" si="1">SUM(H5:H8)</f>
        <v>0</v>
      </c>
      <c r="I4" s="339">
        <f t="shared" si="1"/>
        <v>0</v>
      </c>
      <c r="J4" s="340">
        <f t="shared" si="1"/>
        <v>0</v>
      </c>
      <c r="K4" s="337">
        <f t="shared" si="1"/>
        <v>0</v>
      </c>
      <c r="L4" s="337">
        <f t="shared" si="1"/>
        <v>0</v>
      </c>
      <c r="M4" s="339">
        <f>SUM(M5:M8)</f>
        <v>0</v>
      </c>
      <c r="N4" s="338">
        <f t="shared" si="1"/>
        <v>0</v>
      </c>
      <c r="O4" s="340">
        <f>SUM(P5:P8)</f>
        <v>0</v>
      </c>
      <c r="P4" s="337">
        <f>SUM(R5:R8)</f>
        <v>0</v>
      </c>
      <c r="Q4" s="337">
        <f>SUM(S5:S8)</f>
        <v>0</v>
      </c>
      <c r="R4" s="337">
        <f>SUM(S5:S8)</f>
        <v>0</v>
      </c>
    </row>
    <row r="5" spans="1:21" x14ac:dyDescent="0.25">
      <c r="A5" s="228" t="s">
        <v>62</v>
      </c>
      <c r="B5" s="48">
        <v>75039.78</v>
      </c>
      <c r="C5" s="148"/>
      <c r="D5" s="632"/>
      <c r="E5" s="632">
        <f>L68+H68+N68</f>
        <v>0</v>
      </c>
      <c r="F5" s="632"/>
      <c r="G5" s="149"/>
      <c r="H5" s="134">
        <v>0</v>
      </c>
      <c r="I5" s="49"/>
      <c r="J5" s="135"/>
      <c r="K5" s="136"/>
      <c r="L5" s="135"/>
      <c r="M5" s="135"/>
      <c r="N5" s="148"/>
      <c r="O5" s="149"/>
      <c r="P5" s="136"/>
      <c r="Q5" s="136"/>
      <c r="R5" s="135"/>
    </row>
    <row r="6" spans="1:21" x14ac:dyDescent="0.25">
      <c r="A6" s="228" t="s">
        <v>60</v>
      </c>
      <c r="B6" s="45"/>
      <c r="C6" s="93"/>
      <c r="D6" s="37"/>
      <c r="E6" s="37"/>
      <c r="F6" s="37"/>
      <c r="G6" s="33"/>
      <c r="H6" s="93"/>
      <c r="I6" s="37"/>
      <c r="J6" s="33"/>
      <c r="K6" s="97"/>
      <c r="L6" s="33"/>
      <c r="M6" s="33"/>
      <c r="N6" s="93"/>
      <c r="O6" s="33"/>
      <c r="P6" s="97"/>
      <c r="Q6" s="97"/>
      <c r="R6" s="33"/>
    </row>
    <row r="7" spans="1:21" x14ac:dyDescent="0.25">
      <c r="A7" s="228" t="s">
        <v>61</v>
      </c>
      <c r="B7" s="45">
        <v>13636.264999999999</v>
      </c>
      <c r="C7" s="93"/>
      <c r="D7" s="37"/>
      <c r="E7" s="37"/>
      <c r="F7" s="37"/>
      <c r="G7" s="33"/>
      <c r="H7" s="93"/>
      <c r="I7" s="37"/>
      <c r="J7" s="33"/>
      <c r="K7" s="97"/>
      <c r="L7" s="33"/>
      <c r="M7" s="33"/>
      <c r="N7" s="93"/>
      <c r="O7" s="33"/>
      <c r="P7" s="97"/>
      <c r="Q7" s="97"/>
      <c r="R7" s="33"/>
    </row>
    <row r="8" spans="1:21" x14ac:dyDescent="0.25">
      <c r="A8" s="228" t="s">
        <v>27</v>
      </c>
      <c r="B8" s="45"/>
      <c r="C8" s="93"/>
      <c r="D8" s="37"/>
      <c r="E8" s="37">
        <v>23000</v>
      </c>
      <c r="F8" s="74"/>
      <c r="G8" s="33"/>
      <c r="H8" s="93"/>
      <c r="I8" s="37"/>
      <c r="J8" s="33"/>
      <c r="K8" s="97"/>
      <c r="L8" s="33"/>
      <c r="M8" s="33"/>
      <c r="N8" s="93"/>
      <c r="O8" s="33"/>
      <c r="P8" s="97"/>
      <c r="Q8" s="97"/>
      <c r="R8" s="33"/>
    </row>
    <row r="9" spans="1:21" s="196" customFormat="1" x14ac:dyDescent="0.25">
      <c r="A9" s="195" t="s">
        <v>28</v>
      </c>
      <c r="B9" s="230">
        <f>B10+B11+B12+B13+B14+B25</f>
        <v>1605847.94</v>
      </c>
      <c r="C9" s="229">
        <f>C10+C11+C12+C13+C14</f>
        <v>0</v>
      </c>
      <c r="D9" s="231">
        <f>D10+D11+D12+D13+D14</f>
        <v>0</v>
      </c>
      <c r="E9" s="231">
        <f>E14+E10+E11+E12+E13</f>
        <v>1966000</v>
      </c>
      <c r="F9" s="231">
        <f>F14</f>
        <v>102322.5</v>
      </c>
      <c r="G9" s="232">
        <f>G14</f>
        <v>0</v>
      </c>
      <c r="H9" s="229" t="e">
        <f>H10+H11+H13+H14+H30+H27+H12</f>
        <v>#REF!</v>
      </c>
      <c r="I9" s="231">
        <f t="shared" ref="I9:Q9" si="2">I10+I11+I13+I14+I23+I30</f>
        <v>0</v>
      </c>
      <c r="J9" s="232">
        <f t="shared" si="2"/>
        <v>0</v>
      </c>
      <c r="K9" s="233">
        <f t="shared" si="2"/>
        <v>0</v>
      </c>
      <c r="L9" s="232">
        <f t="shared" si="2"/>
        <v>0</v>
      </c>
      <c r="M9" s="232">
        <f t="shared" si="2"/>
        <v>1448000</v>
      </c>
      <c r="N9" s="229">
        <f t="shared" si="2"/>
        <v>15000</v>
      </c>
      <c r="O9" s="232">
        <f t="shared" si="2"/>
        <v>0</v>
      </c>
      <c r="P9" s="233">
        <f t="shared" si="2"/>
        <v>0</v>
      </c>
      <c r="Q9" s="233">
        <f t="shared" si="2"/>
        <v>592000</v>
      </c>
      <c r="R9" s="232">
        <f>R10+R11+R13+R14+R23+R30</f>
        <v>0</v>
      </c>
      <c r="U9" s="197"/>
    </row>
    <row r="10" spans="1:21" x14ac:dyDescent="0.25">
      <c r="A10" s="228" t="s">
        <v>296</v>
      </c>
      <c r="B10" s="45">
        <f>CT!D459</f>
        <v>1010093.6340000001</v>
      </c>
      <c r="C10" s="93"/>
      <c r="D10" s="37"/>
      <c r="E10" s="37">
        <f>B68</f>
        <v>1500000</v>
      </c>
      <c r="F10" s="37"/>
      <c r="G10" s="33"/>
      <c r="H10" s="93" t="e">
        <f>E64</f>
        <v>#REF!</v>
      </c>
      <c r="I10" s="37"/>
      <c r="J10" s="33"/>
      <c r="K10" s="97">
        <f>C73+E73</f>
        <v>0</v>
      </c>
      <c r="L10" s="33">
        <f>H70+N70</f>
        <v>0</v>
      </c>
      <c r="M10" s="33">
        <f>+E71</f>
        <v>0</v>
      </c>
      <c r="N10" s="134">
        <f>+E72+C72</f>
        <v>15000</v>
      </c>
      <c r="O10" s="135"/>
      <c r="P10" s="97"/>
      <c r="Q10" s="97"/>
      <c r="R10" s="33"/>
      <c r="U10" s="129"/>
    </row>
    <row r="11" spans="1:21" x14ac:dyDescent="0.25">
      <c r="A11" s="228" t="s">
        <v>61</v>
      </c>
      <c r="B11" s="45">
        <v>150000</v>
      </c>
      <c r="C11" s="93"/>
      <c r="D11" s="37"/>
      <c r="E11" s="37"/>
      <c r="F11" s="37"/>
      <c r="G11" s="33"/>
      <c r="H11" s="93"/>
      <c r="I11" s="37"/>
      <c r="J11" s="33"/>
      <c r="K11" s="97"/>
      <c r="L11" s="33"/>
      <c r="M11" s="33"/>
      <c r="N11" s="93"/>
      <c r="O11" s="33"/>
      <c r="P11" s="97"/>
      <c r="Q11" s="97"/>
      <c r="R11" s="33"/>
      <c r="U11" s="129"/>
    </row>
    <row r="12" spans="1:21" x14ac:dyDescent="0.25">
      <c r="A12" s="228" t="s">
        <v>297</v>
      </c>
      <c r="B12" s="45">
        <v>150000</v>
      </c>
      <c r="C12" s="93"/>
      <c r="D12" s="37"/>
      <c r="E12" s="37">
        <v>300000</v>
      </c>
      <c r="F12" s="37"/>
      <c r="G12" s="33"/>
      <c r="H12" s="93"/>
      <c r="I12" s="37"/>
      <c r="J12" s="33"/>
      <c r="K12" s="97"/>
      <c r="L12" s="33"/>
      <c r="M12" s="33"/>
      <c r="N12" s="93"/>
      <c r="O12" s="33"/>
      <c r="P12" s="97"/>
      <c r="Q12" s="97"/>
      <c r="R12" s="33"/>
    </row>
    <row r="13" spans="1:21" x14ac:dyDescent="0.25">
      <c r="A13" s="228" t="s">
        <v>60</v>
      </c>
      <c r="B13" s="45">
        <f>'TR '!D82</f>
        <v>295754.30599999998</v>
      </c>
      <c r="C13" s="93"/>
      <c r="D13" s="37"/>
      <c r="E13" s="37"/>
      <c r="F13" s="37"/>
      <c r="G13" s="33"/>
      <c r="H13" s="93"/>
      <c r="I13" s="37"/>
      <c r="J13" s="33"/>
      <c r="K13" s="97"/>
      <c r="L13" s="33"/>
      <c r="M13" s="33"/>
      <c r="N13" s="93"/>
      <c r="O13" s="33"/>
      <c r="P13" s="97"/>
      <c r="Q13" s="97"/>
      <c r="R13" s="33"/>
      <c r="U13" s="342"/>
    </row>
    <row r="14" spans="1:21" s="5" customFormat="1" ht="14.25" x14ac:dyDescent="0.2">
      <c r="A14" s="10" t="s">
        <v>27</v>
      </c>
      <c r="B14" s="485">
        <v>0</v>
      </c>
      <c r="C14" s="29">
        <f>SUM(C15:C30)</f>
        <v>0</v>
      </c>
      <c r="D14" s="38">
        <f>SUM(D15:D30)</f>
        <v>0</v>
      </c>
      <c r="E14" s="38">
        <f>SUM(E15:E32)</f>
        <v>166000</v>
      </c>
      <c r="F14" s="38">
        <f>SUM(F15:F31)</f>
        <v>102322.5</v>
      </c>
      <c r="G14" s="28">
        <f>SUM(G15:G31)</f>
        <v>0</v>
      </c>
      <c r="H14" s="29">
        <f>SUM(H15:H30)</f>
        <v>876000</v>
      </c>
      <c r="I14" s="38">
        <f>SUM(I15:I30)</f>
        <v>0</v>
      </c>
      <c r="J14" s="28">
        <f>SUM(J15:J21)</f>
        <v>0</v>
      </c>
      <c r="K14" s="28">
        <f>SUM(K15:K21)</f>
        <v>0</v>
      </c>
      <c r="L14" s="28">
        <f>SUM(L15:L21)</f>
        <v>0</v>
      </c>
      <c r="M14" s="28">
        <f>SUM(M15:M30)</f>
        <v>1448000</v>
      </c>
      <c r="N14" s="29">
        <f>SUM(N15:N21)</f>
        <v>0</v>
      </c>
      <c r="O14" s="28">
        <f>SUM(O15:O30)</f>
        <v>0</v>
      </c>
      <c r="P14" s="28">
        <f>SUM(P15:P30)</f>
        <v>0</v>
      </c>
      <c r="Q14" s="28">
        <f>SUM(Q15:Q30)</f>
        <v>592000</v>
      </c>
      <c r="R14" s="28">
        <f>SUM(R15:R30)</f>
        <v>0</v>
      </c>
      <c r="U14" s="343"/>
    </row>
    <row r="15" spans="1:21" x14ac:dyDescent="0.25">
      <c r="A15" s="234" t="s">
        <v>29</v>
      </c>
      <c r="B15" s="45"/>
      <c r="C15" s="93"/>
      <c r="D15" s="37"/>
      <c r="E15" s="127">
        <f>F69*3.32</f>
        <v>166000</v>
      </c>
      <c r="F15" s="127"/>
      <c r="G15" s="33"/>
      <c r="H15" s="160"/>
      <c r="I15" s="127"/>
      <c r="J15" s="103"/>
      <c r="K15" s="97"/>
      <c r="L15" s="33"/>
      <c r="M15" s="33"/>
      <c r="N15" s="93"/>
      <c r="O15" s="33"/>
      <c r="P15" s="97"/>
      <c r="Q15" s="97"/>
      <c r="R15" s="33"/>
    </row>
    <row r="16" spans="1:21" x14ac:dyDescent="0.25">
      <c r="A16" s="234" t="s">
        <v>30</v>
      </c>
      <c r="B16" s="45"/>
      <c r="C16" s="93"/>
      <c r="D16" s="37"/>
      <c r="E16" s="37"/>
      <c r="F16" s="37"/>
      <c r="G16" s="633"/>
      <c r="H16" s="93"/>
      <c r="I16" s="37"/>
      <c r="J16" s="33"/>
      <c r="K16" s="97"/>
      <c r="L16" s="33"/>
      <c r="M16" s="33"/>
      <c r="N16" s="93"/>
      <c r="O16" s="33"/>
      <c r="P16" s="97"/>
      <c r="Q16" s="97"/>
      <c r="R16" s="33"/>
    </row>
    <row r="17" spans="1:18" x14ac:dyDescent="0.25">
      <c r="A17" s="234" t="s">
        <v>31</v>
      </c>
      <c r="B17" s="45"/>
      <c r="C17" s="93"/>
      <c r="D17" s="37"/>
      <c r="E17" s="37"/>
      <c r="F17" s="37"/>
      <c r="G17" s="634"/>
      <c r="H17" s="93"/>
      <c r="I17" s="37"/>
      <c r="J17" s="33"/>
      <c r="K17" s="97"/>
      <c r="L17" s="33"/>
      <c r="M17" s="33"/>
      <c r="N17" s="93"/>
      <c r="O17" s="33"/>
      <c r="P17" s="97"/>
      <c r="Q17" s="97"/>
      <c r="R17" s="33"/>
    </row>
    <row r="18" spans="1:18" x14ac:dyDescent="0.25">
      <c r="A18" s="234" t="s">
        <v>115</v>
      </c>
      <c r="B18" s="45"/>
      <c r="C18" s="93"/>
      <c r="D18" s="37"/>
      <c r="E18" s="37"/>
      <c r="F18" s="74">
        <v>10000</v>
      </c>
      <c r="G18" s="634"/>
      <c r="H18" s="93"/>
      <c r="I18" s="37"/>
      <c r="J18" s="33"/>
      <c r="K18" s="97"/>
      <c r="L18" s="33"/>
      <c r="M18" s="33"/>
      <c r="N18" s="93"/>
      <c r="O18" s="33"/>
      <c r="P18" s="97"/>
      <c r="Q18" s="97"/>
      <c r="R18" s="33"/>
    </row>
    <row r="19" spans="1:18" x14ac:dyDescent="0.25">
      <c r="A19" s="234" t="s">
        <v>32</v>
      </c>
      <c r="B19" s="45"/>
      <c r="C19" s="93"/>
      <c r="D19" s="37"/>
      <c r="E19" s="37"/>
      <c r="F19" s="74">
        <v>7000</v>
      </c>
      <c r="G19" s="33"/>
      <c r="H19" s="93"/>
      <c r="I19" s="37"/>
      <c r="J19" s="33"/>
      <c r="K19" s="97"/>
      <c r="L19" s="33"/>
      <c r="M19" s="33"/>
      <c r="N19" s="93"/>
      <c r="O19" s="33"/>
      <c r="P19" s="97"/>
      <c r="Q19" s="97"/>
      <c r="R19" s="33"/>
    </row>
    <row r="20" spans="1:18" x14ac:dyDescent="0.25">
      <c r="A20" s="234" t="s">
        <v>367</v>
      </c>
      <c r="B20" s="45"/>
      <c r="C20" s="93"/>
      <c r="D20" s="37"/>
      <c r="E20" s="37"/>
      <c r="F20" s="74"/>
      <c r="G20" s="33"/>
      <c r="H20" s="93"/>
      <c r="I20" s="37"/>
      <c r="J20" s="33"/>
      <c r="K20" s="97"/>
      <c r="L20" s="33"/>
      <c r="M20" s="33"/>
      <c r="N20" s="93"/>
      <c r="O20" s="33"/>
      <c r="P20" s="97"/>
      <c r="Q20" s="97"/>
      <c r="R20" s="33"/>
    </row>
    <row r="21" spans="1:18" x14ac:dyDescent="0.25">
      <c r="A21" s="234" t="s">
        <v>33</v>
      </c>
      <c r="B21" s="45"/>
      <c r="C21" s="93"/>
      <c r="D21" s="37"/>
      <c r="E21" s="127"/>
      <c r="F21" s="74">
        <f>EXPORT!M51</f>
        <v>85322.5</v>
      </c>
      <c r="G21" s="33"/>
      <c r="H21" s="93"/>
      <c r="I21" s="74"/>
      <c r="J21" s="33"/>
      <c r="K21" s="97"/>
      <c r="L21" s="33"/>
      <c r="M21" s="33"/>
      <c r="N21" s="93"/>
      <c r="O21" s="33"/>
      <c r="P21" s="97"/>
      <c r="Q21" s="97"/>
      <c r="R21" s="33"/>
    </row>
    <row r="22" spans="1:18" x14ac:dyDescent="0.25">
      <c r="A22" s="234" t="s">
        <v>299</v>
      </c>
      <c r="B22" s="45"/>
      <c r="C22" s="93"/>
      <c r="D22" s="37"/>
      <c r="E22" s="37"/>
      <c r="F22" s="74"/>
      <c r="G22" s="33"/>
      <c r="H22" s="93"/>
      <c r="I22" s="74"/>
      <c r="J22" s="33"/>
      <c r="K22" s="97"/>
      <c r="L22" s="33"/>
      <c r="M22" s="33"/>
      <c r="N22" s="93"/>
      <c r="O22" s="33"/>
      <c r="P22" s="97"/>
      <c r="Q22" s="97"/>
      <c r="R22" s="33"/>
    </row>
    <row r="23" spans="1:18" x14ac:dyDescent="0.25">
      <c r="A23" s="228" t="s">
        <v>308</v>
      </c>
      <c r="B23" s="45"/>
      <c r="C23" s="635"/>
      <c r="D23" s="117"/>
      <c r="E23" s="127"/>
      <c r="F23" s="127"/>
      <c r="G23" s="634"/>
      <c r="H23" s="93"/>
      <c r="I23" s="117"/>
      <c r="J23" s="33"/>
      <c r="K23" s="97"/>
      <c r="L23" s="33"/>
      <c r="M23" s="33"/>
      <c r="N23" s="93"/>
      <c r="O23" s="33"/>
      <c r="P23" s="97"/>
      <c r="Q23" s="97"/>
      <c r="R23" s="33"/>
    </row>
    <row r="24" spans="1:18" x14ac:dyDescent="0.25">
      <c r="A24" s="228" t="s">
        <v>52</v>
      </c>
      <c r="B24" s="45"/>
      <c r="C24" s="635"/>
      <c r="D24" s="117"/>
      <c r="E24" s="127"/>
      <c r="F24" s="37"/>
      <c r="G24" s="33"/>
      <c r="H24" s="93"/>
      <c r="I24" s="37"/>
      <c r="J24" s="33"/>
      <c r="K24" s="97"/>
      <c r="L24" s="33"/>
      <c r="M24" s="33"/>
      <c r="N24" s="93"/>
      <c r="O24" s="33"/>
      <c r="P24" s="97"/>
      <c r="Q24" s="97"/>
      <c r="R24" s="33"/>
    </row>
    <row r="25" spans="1:18" x14ac:dyDescent="0.25">
      <c r="A25" s="228" t="s">
        <v>105</v>
      </c>
      <c r="B25" s="485"/>
      <c r="C25" s="635"/>
      <c r="D25" s="117"/>
      <c r="E25" s="127"/>
      <c r="F25" s="37"/>
      <c r="G25" s="33"/>
      <c r="H25" s="160"/>
      <c r="I25" s="37"/>
      <c r="J25" s="33"/>
      <c r="K25" s="97"/>
      <c r="L25" s="33"/>
      <c r="M25" s="33"/>
      <c r="N25" s="93"/>
      <c r="O25" s="33"/>
      <c r="P25" s="97"/>
      <c r="Q25" s="97"/>
      <c r="R25" s="33"/>
    </row>
    <row r="26" spans="1:18" x14ac:dyDescent="0.25">
      <c r="A26" s="228" t="s">
        <v>116</v>
      </c>
      <c r="B26" s="45"/>
      <c r="C26" s="635"/>
      <c r="D26" s="117"/>
      <c r="E26" s="127"/>
      <c r="F26" s="37"/>
      <c r="G26" s="33"/>
      <c r="H26" s="160"/>
      <c r="I26" s="37"/>
      <c r="J26" s="33"/>
      <c r="K26" s="97"/>
      <c r="L26" s="33"/>
      <c r="M26" s="33"/>
      <c r="N26" s="93"/>
      <c r="O26" s="33"/>
      <c r="P26" s="97"/>
      <c r="Q26" s="97"/>
      <c r="R26" s="33"/>
    </row>
    <row r="27" spans="1:18" x14ac:dyDescent="0.25">
      <c r="A27" s="228" t="s">
        <v>76</v>
      </c>
      <c r="B27" s="45"/>
      <c r="C27" s="635"/>
      <c r="D27" s="117"/>
      <c r="E27" s="37"/>
      <c r="F27" s="37"/>
      <c r="G27" s="33"/>
      <c r="H27" s="160"/>
      <c r="I27" s="127"/>
      <c r="J27" s="370"/>
      <c r="K27" s="629"/>
      <c r="L27" s="370"/>
      <c r="M27" s="127"/>
      <c r="N27" s="93"/>
      <c r="O27" s="33"/>
      <c r="P27" s="629"/>
      <c r="Q27" s="629">
        <v>592000</v>
      </c>
      <c r="R27" s="33"/>
    </row>
    <row r="28" spans="1:18" x14ac:dyDescent="0.25">
      <c r="A28" s="228" t="s">
        <v>101</v>
      </c>
      <c r="B28" s="45"/>
      <c r="C28" s="635"/>
      <c r="D28" s="117"/>
      <c r="E28" s="38"/>
      <c r="F28" s="37"/>
      <c r="G28" s="33"/>
      <c r="H28" s="93"/>
      <c r="I28" s="37"/>
      <c r="J28" s="33"/>
      <c r="K28" s="97"/>
      <c r="L28" s="33"/>
      <c r="M28" s="370">
        <f>+H79</f>
        <v>750000</v>
      </c>
      <c r="N28" s="93"/>
      <c r="O28" s="33"/>
      <c r="P28" s="97"/>
      <c r="Q28" s="97"/>
      <c r="R28" s="33"/>
    </row>
    <row r="29" spans="1:18" x14ac:dyDescent="0.25">
      <c r="A29" s="228" t="s">
        <v>307</v>
      </c>
      <c r="B29" s="45"/>
      <c r="C29" s="635"/>
      <c r="D29" s="117"/>
      <c r="E29" s="37"/>
      <c r="F29" s="37"/>
      <c r="G29" s="33"/>
      <c r="H29" s="160">
        <v>876000</v>
      </c>
      <c r="I29" s="37"/>
      <c r="J29" s="33"/>
      <c r="K29" s="97"/>
      <c r="L29" s="33"/>
      <c r="M29" s="370">
        <f>96000+602000</f>
        <v>698000</v>
      </c>
      <c r="N29" s="93"/>
      <c r="O29" s="33"/>
      <c r="P29" s="97"/>
      <c r="Q29" s="97"/>
      <c r="R29" s="370"/>
    </row>
    <row r="30" spans="1:18" x14ac:dyDescent="0.25">
      <c r="A30" s="228" t="s">
        <v>2</v>
      </c>
      <c r="B30" s="45"/>
      <c r="C30" s="635"/>
      <c r="D30" s="117"/>
      <c r="E30" s="37"/>
      <c r="F30" s="37"/>
      <c r="G30" s="33"/>
      <c r="H30" s="93"/>
      <c r="I30" s="37"/>
      <c r="J30" s="33"/>
      <c r="K30" s="97"/>
      <c r="L30" s="33"/>
      <c r="M30" s="33"/>
      <c r="N30" s="93"/>
      <c r="O30" s="33"/>
      <c r="P30" s="97"/>
      <c r="Q30" s="97"/>
      <c r="R30" s="33"/>
    </row>
    <row r="31" spans="1:18" x14ac:dyDescent="0.25">
      <c r="A31" s="235" t="s">
        <v>94</v>
      </c>
      <c r="B31" s="50"/>
      <c r="C31" s="94"/>
      <c r="D31" s="51"/>
      <c r="E31" s="341"/>
      <c r="F31" s="51"/>
      <c r="G31" s="52"/>
      <c r="H31" s="94"/>
      <c r="I31" s="51"/>
      <c r="J31" s="52"/>
      <c r="K31" s="99"/>
      <c r="L31" s="52"/>
      <c r="M31" s="52"/>
      <c r="N31" s="94"/>
      <c r="O31" s="52"/>
      <c r="P31" s="99"/>
      <c r="Q31" s="99"/>
      <c r="R31" s="52"/>
    </row>
    <row r="32" spans="1:18" ht="15.75" thickBot="1" x14ac:dyDescent="0.3">
      <c r="A32" s="235" t="s">
        <v>52</v>
      </c>
      <c r="B32" s="150"/>
      <c r="C32" s="636"/>
      <c r="D32" s="147"/>
      <c r="E32" s="147"/>
      <c r="F32" s="147"/>
      <c r="G32" s="142"/>
      <c r="H32" s="118"/>
      <c r="I32" s="119"/>
      <c r="J32" s="120"/>
      <c r="K32" s="141"/>
      <c r="L32" s="142"/>
      <c r="M32" s="142"/>
      <c r="N32" s="118"/>
      <c r="O32" s="120"/>
      <c r="P32" s="141"/>
      <c r="Q32" s="141"/>
      <c r="R32" s="142"/>
    </row>
    <row r="33" spans="1:18" ht="15.75" thickBot="1" x14ac:dyDescent="0.3">
      <c r="A33" s="9" t="s">
        <v>34</v>
      </c>
      <c r="B33" s="631">
        <f t="shared" ref="B33:R33" si="3">B34+B49+B81</f>
        <v>1738617.4910000002</v>
      </c>
      <c r="C33" s="139">
        <f t="shared" si="3"/>
        <v>0</v>
      </c>
      <c r="D33" s="144">
        <f t="shared" si="3"/>
        <v>0</v>
      </c>
      <c r="E33" s="144" t="e">
        <f t="shared" si="3"/>
        <v>#REF!</v>
      </c>
      <c r="F33" s="144">
        <f t="shared" si="3"/>
        <v>189416.14</v>
      </c>
      <c r="G33" s="140">
        <f t="shared" si="3"/>
        <v>0</v>
      </c>
      <c r="H33" s="146">
        <f t="shared" si="3"/>
        <v>1597973.226</v>
      </c>
      <c r="I33" s="121">
        <f t="shared" si="3"/>
        <v>0</v>
      </c>
      <c r="J33" s="122">
        <f t="shared" si="3"/>
        <v>0</v>
      </c>
      <c r="K33" s="145">
        <f t="shared" si="3"/>
        <v>3700</v>
      </c>
      <c r="L33" s="145">
        <f t="shared" si="3"/>
        <v>1200000</v>
      </c>
      <c r="M33" s="145">
        <f t="shared" si="3"/>
        <v>3000000</v>
      </c>
      <c r="N33" s="139">
        <f t="shared" si="3"/>
        <v>6000</v>
      </c>
      <c r="O33" s="140">
        <f t="shared" si="3"/>
        <v>0</v>
      </c>
      <c r="P33" s="145">
        <f t="shared" si="3"/>
        <v>6292.415</v>
      </c>
      <c r="Q33" s="145">
        <f t="shared" si="3"/>
        <v>602000</v>
      </c>
      <c r="R33" s="145">
        <f t="shared" si="3"/>
        <v>0</v>
      </c>
    </row>
    <row r="34" spans="1:18" s="5" customFormat="1" ht="14.25" x14ac:dyDescent="0.2">
      <c r="A34" s="10" t="s">
        <v>35</v>
      </c>
      <c r="B34" s="151"/>
      <c r="C34" s="123">
        <f t="shared" ref="C34:R34" si="4">SUM(C35:C48)</f>
        <v>0</v>
      </c>
      <c r="D34" s="124"/>
      <c r="E34" s="124">
        <f t="shared" si="4"/>
        <v>0</v>
      </c>
      <c r="F34" s="124">
        <f t="shared" si="4"/>
        <v>139416.14000000001</v>
      </c>
      <c r="G34" s="125">
        <f>SUM(G35:G48)</f>
        <v>0</v>
      </c>
      <c r="H34" s="123">
        <f t="shared" si="4"/>
        <v>0</v>
      </c>
      <c r="I34" s="124">
        <f t="shared" si="4"/>
        <v>0</v>
      </c>
      <c r="J34" s="125">
        <f t="shared" si="4"/>
        <v>0</v>
      </c>
      <c r="K34" s="143">
        <f t="shared" si="4"/>
        <v>0</v>
      </c>
      <c r="L34" s="138">
        <f t="shared" si="4"/>
        <v>0</v>
      </c>
      <c r="M34" s="138">
        <f t="shared" si="4"/>
        <v>0</v>
      </c>
      <c r="N34" s="123">
        <f t="shared" si="4"/>
        <v>0</v>
      </c>
      <c r="O34" s="125">
        <f>SUM(O35:O48)</f>
        <v>0</v>
      </c>
      <c r="P34" s="143">
        <f t="shared" si="4"/>
        <v>0</v>
      </c>
      <c r="Q34" s="143">
        <f t="shared" si="4"/>
        <v>0</v>
      </c>
      <c r="R34" s="138">
        <f t="shared" si="4"/>
        <v>0</v>
      </c>
    </row>
    <row r="35" spans="1:18" x14ac:dyDescent="0.25">
      <c r="A35" s="236" t="s">
        <v>442</v>
      </c>
      <c r="B35" s="238"/>
      <c r="C35" s="27"/>
      <c r="D35" s="40"/>
      <c r="E35" s="40"/>
      <c r="F35" s="40"/>
      <c r="G35" s="26"/>
      <c r="H35" s="27"/>
      <c r="I35" s="40"/>
      <c r="J35" s="26"/>
      <c r="K35" s="100"/>
      <c r="L35" s="26"/>
      <c r="M35" s="26"/>
      <c r="N35" s="27"/>
      <c r="O35" s="26"/>
      <c r="P35" s="100"/>
      <c r="Q35" s="100"/>
      <c r="R35" s="26"/>
    </row>
    <row r="36" spans="1:18" x14ac:dyDescent="0.25">
      <c r="A36" s="236" t="s">
        <v>672</v>
      </c>
      <c r="B36" s="238"/>
      <c r="C36" s="27"/>
      <c r="D36" s="40"/>
      <c r="E36" s="40"/>
      <c r="F36" s="40"/>
      <c r="G36" s="26"/>
      <c r="H36" s="27"/>
      <c r="I36" s="40"/>
      <c r="J36" s="26"/>
      <c r="K36" s="100"/>
      <c r="L36" s="26"/>
      <c r="M36" s="26"/>
      <c r="N36" s="27"/>
      <c r="O36" s="26"/>
      <c r="P36" s="100"/>
      <c r="Q36" s="100"/>
      <c r="R36" s="26"/>
    </row>
    <row r="37" spans="1:18" x14ac:dyDescent="0.25">
      <c r="A37" s="236" t="s">
        <v>82</v>
      </c>
      <c r="B37" s="238"/>
      <c r="C37" s="27"/>
      <c r="D37" s="40"/>
      <c r="E37" s="40"/>
      <c r="F37" s="40"/>
      <c r="G37" s="26"/>
      <c r="H37" s="27"/>
      <c r="I37" s="40"/>
      <c r="J37" s="26"/>
      <c r="K37" s="100"/>
      <c r="L37" s="26"/>
      <c r="M37" s="26"/>
      <c r="N37" s="27"/>
      <c r="O37" s="26"/>
      <c r="P37" s="100"/>
      <c r="Q37" s="100"/>
      <c r="R37" s="26"/>
    </row>
    <row r="38" spans="1:18" x14ac:dyDescent="0.25">
      <c r="A38" s="236" t="s">
        <v>765</v>
      </c>
      <c r="B38" s="238"/>
      <c r="C38" s="27"/>
      <c r="D38" s="40"/>
      <c r="E38" s="40"/>
      <c r="F38" s="69"/>
      <c r="G38" s="26"/>
      <c r="H38" s="27"/>
      <c r="I38" s="40"/>
      <c r="J38" s="26"/>
      <c r="K38" s="100"/>
      <c r="L38" s="26"/>
      <c r="M38" s="26"/>
      <c r="N38" s="27"/>
      <c r="O38" s="26"/>
      <c r="P38" s="100"/>
      <c r="Q38" s="100"/>
      <c r="R38" s="26"/>
    </row>
    <row r="39" spans="1:18" x14ac:dyDescent="0.25">
      <c r="A39" s="236" t="s">
        <v>636</v>
      </c>
      <c r="B39" s="238"/>
      <c r="C39" s="27"/>
      <c r="D39" s="40"/>
      <c r="E39" s="40"/>
      <c r="F39" s="40"/>
      <c r="G39" s="26"/>
      <c r="H39" s="126"/>
      <c r="I39" s="40"/>
      <c r="J39" s="26"/>
      <c r="K39" s="100"/>
      <c r="L39" s="26"/>
      <c r="M39" s="26"/>
      <c r="N39" s="27"/>
      <c r="O39" s="26"/>
      <c r="P39" s="100"/>
      <c r="Q39" s="100"/>
      <c r="R39" s="26"/>
    </row>
    <row r="40" spans="1:18" x14ac:dyDescent="0.25">
      <c r="A40" s="236" t="s">
        <v>762</v>
      </c>
      <c r="B40" s="238"/>
      <c r="C40" s="27"/>
      <c r="D40" s="40"/>
      <c r="E40" s="69"/>
      <c r="F40" s="69"/>
      <c r="G40" s="251"/>
      <c r="H40" s="27"/>
      <c r="I40" s="40"/>
      <c r="J40" s="26"/>
      <c r="K40" s="100"/>
      <c r="L40" s="26"/>
      <c r="M40" s="26"/>
      <c r="N40" s="27"/>
      <c r="O40" s="26"/>
      <c r="P40" s="100"/>
      <c r="Q40" s="100"/>
      <c r="R40" s="26"/>
    </row>
    <row r="41" spans="1:18" x14ac:dyDescent="0.25">
      <c r="A41" s="236" t="s">
        <v>36</v>
      </c>
      <c r="B41" s="238"/>
      <c r="C41" s="27"/>
      <c r="D41" s="40"/>
      <c r="E41" s="40"/>
      <c r="F41" s="40"/>
      <c r="G41" s="26"/>
      <c r="H41" s="27"/>
      <c r="I41" s="40"/>
      <c r="J41" s="26"/>
      <c r="K41" s="100"/>
      <c r="L41" s="26"/>
      <c r="M41" s="26"/>
      <c r="N41" s="27"/>
      <c r="O41" s="26"/>
      <c r="P41" s="100"/>
      <c r="Q41" s="100"/>
      <c r="R41" s="26"/>
    </row>
    <row r="42" spans="1:18" x14ac:dyDescent="0.25">
      <c r="A42" s="236" t="s">
        <v>37</v>
      </c>
      <c r="B42" s="238"/>
      <c r="C42" s="27"/>
      <c r="D42" s="40"/>
      <c r="E42" s="40"/>
      <c r="F42" s="40">
        <f>etranger!C22+etranger!C21</f>
        <v>83553.63</v>
      </c>
      <c r="G42" s="26"/>
      <c r="H42" s="27"/>
      <c r="I42" s="40"/>
      <c r="J42" s="26"/>
      <c r="K42" s="100"/>
      <c r="L42" s="26"/>
      <c r="M42" s="26"/>
      <c r="N42" s="27"/>
      <c r="O42" s="26"/>
      <c r="P42" s="100"/>
      <c r="Q42" s="100"/>
      <c r="R42" s="26"/>
    </row>
    <row r="43" spans="1:18" x14ac:dyDescent="0.25">
      <c r="A43" s="236" t="s">
        <v>38</v>
      </c>
      <c r="B43" s="238"/>
      <c r="C43" s="27"/>
      <c r="D43" s="40"/>
      <c r="E43" s="40"/>
      <c r="F43" s="40">
        <f>+etranger!C66</f>
        <v>31751.91</v>
      </c>
      <c r="G43" s="26"/>
      <c r="H43" s="27"/>
      <c r="I43" s="40"/>
      <c r="J43" s="26"/>
      <c r="K43" s="100"/>
      <c r="L43" s="26"/>
      <c r="M43" s="26"/>
      <c r="N43" s="27"/>
      <c r="O43" s="26"/>
      <c r="P43" s="100"/>
      <c r="Q43" s="100"/>
      <c r="R43" s="26"/>
    </row>
    <row r="44" spans="1:18" s="5" customFormat="1" x14ac:dyDescent="0.25">
      <c r="A44" s="236" t="s">
        <v>485</v>
      </c>
      <c r="B44" s="238"/>
      <c r="C44" s="237"/>
      <c r="D44" s="239"/>
      <c r="E44" s="239"/>
      <c r="F44" s="128"/>
      <c r="G44" s="240"/>
      <c r="H44" s="237"/>
      <c r="I44" s="239"/>
      <c r="J44" s="240"/>
      <c r="K44" s="241"/>
      <c r="L44" s="240"/>
      <c r="M44" s="240"/>
      <c r="N44" s="237"/>
      <c r="O44" s="240"/>
      <c r="P44" s="241"/>
      <c r="Q44" s="241"/>
      <c r="R44" s="240"/>
    </row>
    <row r="45" spans="1:18" x14ac:dyDescent="0.25">
      <c r="A45" s="236" t="s">
        <v>39</v>
      </c>
      <c r="B45" s="238"/>
      <c r="C45" s="27"/>
      <c r="D45" s="40"/>
      <c r="E45" s="40"/>
      <c r="F45" s="40"/>
      <c r="G45" s="26"/>
      <c r="H45" s="27"/>
      <c r="I45" s="40"/>
      <c r="J45" s="26"/>
      <c r="K45" s="100"/>
      <c r="L45" s="26"/>
      <c r="M45" s="26"/>
      <c r="N45" s="27"/>
      <c r="O45" s="26"/>
      <c r="P45" s="100"/>
      <c r="Q45" s="100"/>
      <c r="R45" s="26"/>
    </row>
    <row r="46" spans="1:18" x14ac:dyDescent="0.25">
      <c r="A46" s="236" t="s">
        <v>895</v>
      </c>
      <c r="B46" s="238"/>
      <c r="C46" s="27"/>
      <c r="D46" s="40"/>
      <c r="E46" s="40"/>
      <c r="F46" s="40"/>
      <c r="G46" s="26"/>
      <c r="H46" s="27"/>
      <c r="I46" s="40"/>
      <c r="J46" s="26"/>
      <c r="K46" s="100"/>
      <c r="L46" s="26"/>
      <c r="M46" s="26"/>
      <c r="N46" s="27"/>
      <c r="O46" s="26"/>
      <c r="P46" s="100"/>
      <c r="Q46" s="100"/>
      <c r="R46" s="26"/>
    </row>
    <row r="47" spans="1:18" x14ac:dyDescent="0.25">
      <c r="A47" s="236" t="s">
        <v>450</v>
      </c>
      <c r="B47" s="238"/>
      <c r="C47" s="27"/>
      <c r="D47" s="40"/>
      <c r="E47" s="40"/>
      <c r="F47" s="40"/>
      <c r="G47" s="26"/>
      <c r="H47" s="27"/>
      <c r="I47" s="40"/>
      <c r="J47" s="26"/>
      <c r="K47" s="100"/>
      <c r="L47" s="26"/>
      <c r="M47" s="26"/>
      <c r="N47" s="27"/>
      <c r="O47" s="26"/>
      <c r="P47" s="100"/>
      <c r="Q47" s="100"/>
      <c r="R47" s="26"/>
    </row>
    <row r="48" spans="1:18" x14ac:dyDescent="0.25">
      <c r="A48" s="236" t="s">
        <v>427</v>
      </c>
      <c r="B48" s="238"/>
      <c r="C48" s="27"/>
      <c r="D48" s="40"/>
      <c r="E48" s="40"/>
      <c r="F48" s="40">
        <f>+etranger!C37*1.16</f>
        <v>24110.6</v>
      </c>
      <c r="G48" s="26"/>
      <c r="H48" s="27"/>
      <c r="I48" s="69"/>
      <c r="J48" s="26"/>
      <c r="K48" s="100"/>
      <c r="L48" s="26"/>
      <c r="M48" s="26"/>
      <c r="N48" s="27"/>
      <c r="O48" s="26"/>
      <c r="P48" s="100"/>
      <c r="Q48" s="100"/>
      <c r="R48" s="26"/>
    </row>
    <row r="49" spans="1:20" s="5" customFormat="1" ht="14.25" x14ac:dyDescent="0.2">
      <c r="A49" s="32" t="s">
        <v>59</v>
      </c>
      <c r="B49" s="95">
        <f>SUM(B50:B80)</f>
        <v>1738617.4910000002</v>
      </c>
      <c r="C49" s="31">
        <f>SUM(C50:C80)</f>
        <v>0</v>
      </c>
      <c r="D49" s="39">
        <f>SUM(D50:D80)</f>
        <v>0</v>
      </c>
      <c r="E49" s="39" t="e">
        <f>SUM(E50:E80)</f>
        <v>#REF!</v>
      </c>
      <c r="F49" s="39">
        <f>SUM(F50:F80)</f>
        <v>50000</v>
      </c>
      <c r="G49" s="30">
        <f>SUM(G50:G74)</f>
        <v>0</v>
      </c>
      <c r="H49" s="31">
        <f>SUM(H50:H80)</f>
        <v>1597973.226</v>
      </c>
      <c r="I49" s="39">
        <f>SUM(I50:I74)</f>
        <v>0</v>
      </c>
      <c r="J49" s="30">
        <f>SUM(J50:J74)</f>
        <v>0</v>
      </c>
      <c r="K49" s="73">
        <f>SUM(K50:K78)</f>
        <v>3700</v>
      </c>
      <c r="L49" s="30">
        <f t="shared" ref="L49:R49" si="5">SUM(L50:L80)</f>
        <v>1200000</v>
      </c>
      <c r="M49" s="30">
        <f t="shared" si="5"/>
        <v>3000000</v>
      </c>
      <c r="N49" s="31">
        <f t="shared" si="5"/>
        <v>6000</v>
      </c>
      <c r="O49" s="30">
        <f t="shared" si="5"/>
        <v>0</v>
      </c>
      <c r="P49" s="73">
        <f t="shared" si="5"/>
        <v>6292.415</v>
      </c>
      <c r="Q49" s="73">
        <f t="shared" si="5"/>
        <v>602000</v>
      </c>
      <c r="R49" s="30">
        <f t="shared" si="5"/>
        <v>0</v>
      </c>
    </row>
    <row r="50" spans="1:20" x14ac:dyDescent="0.25">
      <c r="A50" s="254" t="s">
        <v>58</v>
      </c>
      <c r="B50" s="46">
        <f>65000</f>
        <v>65000</v>
      </c>
      <c r="C50" s="27"/>
      <c r="D50" s="40"/>
      <c r="E50" s="40">
        <f>150000</f>
        <v>150000</v>
      </c>
      <c r="F50" s="40"/>
      <c r="G50" s="26"/>
      <c r="H50" s="27">
        <f>8000</f>
        <v>8000</v>
      </c>
      <c r="I50" s="40"/>
      <c r="J50" s="26"/>
      <c r="K50" s="100">
        <v>1000</v>
      </c>
      <c r="L50" s="26"/>
      <c r="M50" s="26"/>
      <c r="N50" s="27">
        <v>1000</v>
      </c>
      <c r="O50" s="26"/>
      <c r="P50" s="100"/>
      <c r="Q50" s="100"/>
      <c r="R50" s="26"/>
      <c r="T50" s="311"/>
    </row>
    <row r="51" spans="1:20" x14ac:dyDescent="0.25">
      <c r="A51" s="254" t="s">
        <v>57</v>
      </c>
      <c r="B51" s="46">
        <f>40000</f>
        <v>40000</v>
      </c>
      <c r="C51" s="27"/>
      <c r="D51" s="40"/>
      <c r="E51" s="40">
        <f>140000+45000</f>
        <v>185000</v>
      </c>
      <c r="F51" s="40"/>
      <c r="G51" s="26"/>
      <c r="H51" s="27">
        <f>8500</f>
        <v>8500</v>
      </c>
      <c r="I51" s="40"/>
      <c r="J51" s="26"/>
      <c r="K51" s="100">
        <f>2700</f>
        <v>2700</v>
      </c>
      <c r="L51" s="26"/>
      <c r="M51" s="26"/>
      <c r="N51" s="27">
        <f>5000</f>
        <v>5000</v>
      </c>
      <c r="O51" s="26"/>
      <c r="P51" s="100"/>
      <c r="Q51" s="100"/>
      <c r="R51" s="26"/>
      <c r="T51" s="321"/>
    </row>
    <row r="52" spans="1:20" x14ac:dyDescent="0.25">
      <c r="A52" s="236" t="s">
        <v>80</v>
      </c>
      <c r="B52" s="46"/>
      <c r="C52" s="27"/>
      <c r="D52" s="40"/>
      <c r="E52" s="40"/>
      <c r="F52" s="40"/>
      <c r="G52" s="26"/>
      <c r="H52" s="27"/>
      <c r="I52" s="40"/>
      <c r="J52" s="26"/>
      <c r="K52" s="100"/>
      <c r="L52" s="26"/>
      <c r="M52" s="26"/>
      <c r="N52" s="27"/>
      <c r="O52" s="26"/>
      <c r="P52" s="100"/>
      <c r="Q52" s="100"/>
      <c r="R52" s="26"/>
    </row>
    <row r="53" spans="1:20" x14ac:dyDescent="0.25">
      <c r="A53" s="236" t="s">
        <v>56</v>
      </c>
      <c r="B53" s="46"/>
      <c r="C53" s="27"/>
      <c r="D53" s="40"/>
      <c r="E53" s="40">
        <v>160000</v>
      </c>
      <c r="F53" s="40"/>
      <c r="G53" s="26"/>
      <c r="H53" s="27">
        <v>8000</v>
      </c>
      <c r="I53" s="40"/>
      <c r="J53" s="26"/>
      <c r="K53" s="100"/>
      <c r="L53" s="26"/>
      <c r="M53" s="26"/>
      <c r="N53" s="27"/>
      <c r="O53" s="26"/>
      <c r="P53" s="100"/>
      <c r="Q53" s="100"/>
      <c r="R53" s="26"/>
    </row>
    <row r="54" spans="1:20" x14ac:dyDescent="0.25">
      <c r="A54" s="236" t="s">
        <v>55</v>
      </c>
      <c r="B54" s="46">
        <v>4465.7929999999997</v>
      </c>
      <c r="C54" s="27"/>
      <c r="D54" s="40"/>
      <c r="E54" s="128">
        <v>3070.58</v>
      </c>
      <c r="F54" s="40"/>
      <c r="G54" s="26"/>
      <c r="H54" s="27"/>
      <c r="I54" s="40"/>
      <c r="J54" s="26"/>
      <c r="K54" s="100">
        <v>0</v>
      </c>
      <c r="L54" s="26"/>
      <c r="M54" s="26"/>
      <c r="N54" s="27"/>
      <c r="O54" s="26"/>
      <c r="P54" s="100"/>
      <c r="Q54" s="100"/>
      <c r="R54" s="26"/>
    </row>
    <row r="55" spans="1:20" x14ac:dyDescent="0.25">
      <c r="A55" s="236" t="s">
        <v>93</v>
      </c>
      <c r="B55" s="46"/>
      <c r="C55" s="591"/>
      <c r="D55" s="128"/>
      <c r="E55" s="40"/>
      <c r="F55" s="40"/>
      <c r="G55" s="26"/>
      <c r="H55" s="27"/>
      <c r="I55" s="40"/>
      <c r="J55" s="26"/>
      <c r="K55" s="100"/>
      <c r="L55" s="26"/>
      <c r="M55" s="26"/>
      <c r="N55" s="27"/>
      <c r="O55" s="26"/>
      <c r="P55" s="100"/>
      <c r="Q55" s="100"/>
      <c r="R55" s="26"/>
    </row>
    <row r="56" spans="1:20" x14ac:dyDescent="0.25">
      <c r="A56" s="309" t="s">
        <v>316</v>
      </c>
      <c r="B56" s="46"/>
      <c r="C56" s="591"/>
      <c r="D56" s="128"/>
      <c r="E56" s="40"/>
      <c r="F56" s="40"/>
      <c r="G56" s="26"/>
      <c r="H56" s="27"/>
      <c r="I56" s="40"/>
      <c r="J56" s="26"/>
      <c r="K56" s="100"/>
      <c r="L56" s="26"/>
      <c r="M56" s="26"/>
      <c r="N56" s="27"/>
      <c r="O56" s="26"/>
      <c r="P56" s="100"/>
      <c r="Q56" s="100"/>
      <c r="R56" s="26"/>
    </row>
    <row r="57" spans="1:20" x14ac:dyDescent="0.25">
      <c r="A57" s="309" t="s">
        <v>368</v>
      </c>
      <c r="B57" s="46"/>
      <c r="C57" s="591"/>
      <c r="D57" s="128"/>
      <c r="E57" s="40"/>
      <c r="F57" s="40"/>
      <c r="G57" s="26"/>
      <c r="H57" s="27"/>
      <c r="I57" s="40"/>
      <c r="J57" s="26"/>
      <c r="K57" s="100"/>
      <c r="L57" s="26"/>
      <c r="M57" s="26"/>
      <c r="N57" s="27"/>
      <c r="O57" s="26"/>
      <c r="P57" s="100"/>
      <c r="Q57" s="100"/>
      <c r="R57" s="26"/>
    </row>
    <row r="58" spans="1:20" x14ac:dyDescent="0.25">
      <c r="A58" s="309" t="s">
        <v>310</v>
      </c>
      <c r="B58" s="46"/>
      <c r="C58" s="591"/>
      <c r="D58" s="128"/>
      <c r="E58" s="40">
        <f>150000*2.05*1.19</f>
        <v>365925</v>
      </c>
      <c r="F58" s="40"/>
      <c r="G58" s="26"/>
      <c r="H58" s="27"/>
      <c r="I58" s="40"/>
      <c r="J58" s="26"/>
      <c r="K58" s="100"/>
      <c r="L58" s="26"/>
      <c r="M58" s="26"/>
      <c r="N58" s="27"/>
      <c r="O58" s="26"/>
      <c r="P58" s="100"/>
      <c r="Q58" s="100"/>
      <c r="R58" s="26"/>
    </row>
    <row r="59" spans="1:20" x14ac:dyDescent="0.25">
      <c r="A59" s="309" t="s">
        <v>722</v>
      </c>
      <c r="B59" s="46"/>
      <c r="C59" s="591"/>
      <c r="D59" s="128"/>
      <c r="E59" s="40"/>
      <c r="F59" s="40"/>
      <c r="G59" s="26"/>
      <c r="H59" s="27"/>
      <c r="I59" s="40"/>
      <c r="J59" s="26"/>
      <c r="K59" s="100"/>
      <c r="L59" s="26"/>
      <c r="M59" s="26"/>
      <c r="N59" s="27"/>
      <c r="O59" s="26"/>
      <c r="P59" s="100"/>
      <c r="Q59" s="100"/>
      <c r="R59" s="26"/>
    </row>
    <row r="60" spans="1:20" x14ac:dyDescent="0.25">
      <c r="A60" s="309" t="s">
        <v>369</v>
      </c>
      <c r="B60" s="46"/>
      <c r="C60" s="591"/>
      <c r="D60" s="128"/>
      <c r="E60" s="40"/>
      <c r="F60" s="40"/>
      <c r="G60" s="26"/>
      <c r="H60" s="27"/>
      <c r="I60" s="40"/>
      <c r="J60" s="26"/>
      <c r="K60" s="100"/>
      <c r="L60" s="26"/>
      <c r="M60" s="26"/>
      <c r="N60" s="27"/>
      <c r="O60" s="26"/>
      <c r="P60" s="100"/>
      <c r="Q60" s="100"/>
      <c r="R60" s="26"/>
    </row>
    <row r="61" spans="1:20" x14ac:dyDescent="0.25">
      <c r="A61" s="309" t="s">
        <v>991</v>
      </c>
      <c r="B61" s="46"/>
      <c r="C61" s="591"/>
      <c r="D61" s="128"/>
      <c r="E61" s="40">
        <v>160000</v>
      </c>
      <c r="F61" s="40"/>
      <c r="G61" s="26"/>
      <c r="H61" s="27"/>
      <c r="I61" s="40"/>
      <c r="J61" s="26"/>
      <c r="K61" s="100"/>
      <c r="L61" s="26"/>
      <c r="M61" s="26"/>
      <c r="N61" s="27"/>
      <c r="O61" s="26"/>
      <c r="P61" s="100"/>
      <c r="Q61" s="100"/>
      <c r="R61" s="26"/>
    </row>
    <row r="62" spans="1:20" x14ac:dyDescent="0.25">
      <c r="A62" s="309" t="s">
        <v>827</v>
      </c>
      <c r="B62" s="46"/>
      <c r="C62" s="591"/>
      <c r="D62" s="128"/>
      <c r="E62" s="40" t="e">
        <f>#REF!+150000*2.05*1.19</f>
        <v>#REF!</v>
      </c>
      <c r="F62" s="40"/>
      <c r="G62" s="26"/>
      <c r="H62" s="27"/>
      <c r="I62" s="40"/>
      <c r="J62" s="26"/>
      <c r="K62" s="100"/>
      <c r="L62" s="26"/>
      <c r="M62" s="26"/>
      <c r="N62" s="27"/>
      <c r="O62" s="26"/>
      <c r="P62" s="100"/>
      <c r="Q62" s="100"/>
      <c r="R62" s="26"/>
    </row>
    <row r="63" spans="1:20" x14ac:dyDescent="0.25">
      <c r="A63" s="309" t="s">
        <v>503</v>
      </c>
      <c r="B63" s="46"/>
      <c r="C63" s="591"/>
      <c r="D63" s="128"/>
      <c r="E63" s="40"/>
      <c r="F63" s="40"/>
      <c r="G63" s="26"/>
      <c r="H63" s="27"/>
      <c r="I63" s="40"/>
      <c r="J63" s="26"/>
      <c r="K63" s="100"/>
      <c r="L63" s="26"/>
      <c r="M63" s="26"/>
      <c r="N63" s="27"/>
      <c r="O63" s="26"/>
      <c r="P63" s="100"/>
      <c r="Q63" s="100"/>
      <c r="R63" s="26"/>
    </row>
    <row r="64" spans="1:20" x14ac:dyDescent="0.25">
      <c r="A64" s="309" t="s">
        <v>370</v>
      </c>
      <c r="B64" s="46"/>
      <c r="C64" s="591"/>
      <c r="D64" s="128"/>
      <c r="E64" s="69" t="e">
        <f>#REF!+#REF!</f>
        <v>#REF!</v>
      </c>
      <c r="F64" s="40"/>
      <c r="G64" s="26"/>
      <c r="H64" s="27"/>
      <c r="I64" s="40"/>
      <c r="J64" s="26"/>
      <c r="K64" s="100"/>
      <c r="L64" s="26"/>
      <c r="M64" s="26"/>
      <c r="N64" s="27"/>
      <c r="O64" s="26"/>
      <c r="P64" s="100"/>
      <c r="Q64" s="100"/>
      <c r="R64" s="26"/>
    </row>
    <row r="65" spans="1:18" x14ac:dyDescent="0.25">
      <c r="A65" s="236" t="s">
        <v>54</v>
      </c>
      <c r="B65" s="46"/>
      <c r="C65" s="27"/>
      <c r="D65" s="40"/>
      <c r="E65" s="40"/>
      <c r="F65" s="40"/>
      <c r="G65" s="26"/>
      <c r="H65" s="27"/>
      <c r="I65" s="40"/>
      <c r="J65" s="26"/>
      <c r="K65" s="100"/>
      <c r="L65" s="26"/>
      <c r="M65" s="26"/>
      <c r="N65" s="27"/>
      <c r="O65" s="26"/>
      <c r="P65" s="100"/>
      <c r="Q65" s="100"/>
      <c r="R65" s="26"/>
    </row>
    <row r="66" spans="1:18" s="5" customFormat="1" x14ac:dyDescent="0.25">
      <c r="A66" s="236" t="s">
        <v>23</v>
      </c>
      <c r="B66" s="46"/>
      <c r="C66" s="126"/>
      <c r="D66" s="69"/>
      <c r="E66" s="40"/>
      <c r="F66" s="40"/>
      <c r="G66" s="26"/>
      <c r="H66" s="27"/>
      <c r="I66" s="40"/>
      <c r="J66" s="26"/>
      <c r="K66" s="592"/>
      <c r="L66" s="593"/>
      <c r="M66" s="251"/>
      <c r="N66" s="591"/>
      <c r="O66" s="26"/>
      <c r="P66" s="100"/>
      <c r="Q66" s="100"/>
      <c r="R66" s="26"/>
    </row>
    <row r="67" spans="1:18" s="5" customFormat="1" x14ac:dyDescent="0.25">
      <c r="A67" s="236" t="s">
        <v>53</v>
      </c>
      <c r="B67" s="46"/>
      <c r="C67" s="27"/>
      <c r="D67" s="40"/>
      <c r="E67" s="239"/>
      <c r="F67" s="40"/>
      <c r="G67" s="26"/>
      <c r="H67" s="27"/>
      <c r="I67" s="40"/>
      <c r="J67" s="26"/>
      <c r="K67" s="592"/>
      <c r="L67" s="593"/>
      <c r="M67" s="251"/>
      <c r="N67" s="591"/>
      <c r="O67" s="26"/>
      <c r="P67" s="100"/>
      <c r="Q67" s="100"/>
      <c r="R67" s="26"/>
    </row>
    <row r="68" spans="1:18" x14ac:dyDescent="0.25">
      <c r="A68" s="236" t="s">
        <v>22</v>
      </c>
      <c r="B68" s="46">
        <v>1500000</v>
      </c>
      <c r="C68" s="27"/>
      <c r="D68" s="40"/>
      <c r="E68" s="239"/>
      <c r="F68" s="40"/>
      <c r="G68" s="26"/>
      <c r="H68" s="591"/>
      <c r="I68" s="40"/>
      <c r="J68" s="26"/>
      <c r="K68" s="592"/>
      <c r="L68" s="593"/>
      <c r="M68" s="251"/>
      <c r="N68" s="591"/>
      <c r="O68" s="26"/>
      <c r="P68" s="100"/>
      <c r="Q68" s="100"/>
      <c r="R68" s="26"/>
    </row>
    <row r="69" spans="1:18" x14ac:dyDescent="0.25">
      <c r="A69" s="236" t="s">
        <v>81</v>
      </c>
      <c r="B69" s="46"/>
      <c r="C69" s="27"/>
      <c r="D69" s="40"/>
      <c r="E69" s="69"/>
      <c r="F69" s="69">
        <v>50000</v>
      </c>
      <c r="G69" s="251"/>
      <c r="H69" s="591"/>
      <c r="I69" s="90"/>
      <c r="J69" s="594"/>
      <c r="K69" s="592"/>
      <c r="L69" s="594"/>
      <c r="M69" s="251"/>
      <c r="N69" s="126"/>
      <c r="O69" s="26"/>
      <c r="P69" s="100"/>
      <c r="Q69" s="100"/>
      <c r="R69" s="26"/>
    </row>
    <row r="70" spans="1:18" x14ac:dyDescent="0.25">
      <c r="A70" s="236" t="s">
        <v>78</v>
      </c>
      <c r="B70" s="46"/>
      <c r="C70" s="27"/>
      <c r="D70" s="40"/>
      <c r="E70" s="69"/>
      <c r="F70" s="40"/>
      <c r="G70" s="26"/>
      <c r="H70" s="591"/>
      <c r="I70" s="40"/>
      <c r="J70" s="26"/>
      <c r="K70" s="100"/>
      <c r="L70" s="26"/>
      <c r="M70" s="26"/>
      <c r="N70" s="27"/>
      <c r="O70" s="26"/>
      <c r="P70" s="100"/>
      <c r="Q70" s="100"/>
      <c r="R70" s="26"/>
    </row>
    <row r="71" spans="1:18" x14ac:dyDescent="0.25">
      <c r="A71" s="236" t="s">
        <v>77</v>
      </c>
      <c r="B71" s="46"/>
      <c r="C71" s="27"/>
      <c r="D71" s="40"/>
      <c r="E71" s="69"/>
      <c r="F71" s="40"/>
      <c r="G71" s="26"/>
      <c r="H71" s="126"/>
      <c r="I71" s="40"/>
      <c r="J71" s="26"/>
      <c r="K71" s="100"/>
      <c r="L71" s="26"/>
      <c r="M71" s="26"/>
      <c r="N71" s="27"/>
      <c r="O71" s="26"/>
      <c r="P71" s="100"/>
      <c r="Q71" s="100"/>
      <c r="R71" s="26"/>
    </row>
    <row r="72" spans="1:18" x14ac:dyDescent="0.25">
      <c r="A72" s="236" t="s">
        <v>317</v>
      </c>
      <c r="B72" s="46"/>
      <c r="C72" s="591"/>
      <c r="D72" s="128"/>
      <c r="E72" s="69">
        <v>15000</v>
      </c>
      <c r="F72" s="40"/>
      <c r="G72" s="26"/>
      <c r="H72" s="126"/>
      <c r="I72" s="40"/>
      <c r="J72" s="26"/>
      <c r="K72" s="100"/>
      <c r="L72" s="26"/>
      <c r="M72" s="26"/>
      <c r="N72" s="27"/>
      <c r="O72" s="26"/>
      <c r="P72" s="100"/>
      <c r="Q72" s="100"/>
      <c r="R72" s="26"/>
    </row>
    <row r="73" spans="1:18" x14ac:dyDescent="0.25">
      <c r="A73" s="236" t="s">
        <v>73</v>
      </c>
      <c r="B73" s="46"/>
      <c r="C73" s="126"/>
      <c r="D73" s="69"/>
      <c r="E73" s="69"/>
      <c r="F73" s="40"/>
      <c r="G73" s="26"/>
      <c r="H73" s="27"/>
      <c r="I73" s="40"/>
      <c r="J73" s="26"/>
      <c r="K73" s="100"/>
      <c r="L73" s="26"/>
      <c r="M73" s="26"/>
      <c r="N73" s="27"/>
      <c r="O73" s="26"/>
      <c r="P73" s="100"/>
      <c r="Q73" s="100"/>
      <c r="R73" s="26"/>
    </row>
    <row r="74" spans="1:18" x14ac:dyDescent="0.25">
      <c r="A74" s="236" t="s">
        <v>501</v>
      </c>
      <c r="B74" s="46">
        <v>25000</v>
      </c>
      <c r="C74" s="27"/>
      <c r="D74" s="40"/>
      <c r="E74" s="40">
        <v>150000</v>
      </c>
      <c r="F74" s="40"/>
      <c r="G74" s="26"/>
      <c r="H74" s="27">
        <v>10000</v>
      </c>
      <c r="I74" s="40"/>
      <c r="J74" s="26"/>
      <c r="K74" s="100"/>
      <c r="L74" s="26"/>
      <c r="M74" s="26"/>
      <c r="N74" s="27"/>
      <c r="O74" s="26"/>
      <c r="P74" s="100"/>
      <c r="Q74" s="100"/>
      <c r="R74" s="26"/>
    </row>
    <row r="75" spans="1:18" x14ac:dyDescent="0.25">
      <c r="A75" s="236" t="s">
        <v>502</v>
      </c>
      <c r="B75" s="46">
        <f>SUM(SND!F2:F3)</f>
        <v>4523.384</v>
      </c>
      <c r="C75" s="27"/>
      <c r="D75" s="40"/>
      <c r="E75" s="40" t="e">
        <f>SUM(#REF!)</f>
        <v>#REF!</v>
      </c>
      <c r="F75" s="40"/>
      <c r="G75" s="26"/>
      <c r="H75" s="27">
        <f>SUM(STA!F2:F6)</f>
        <v>2185.1019999999999</v>
      </c>
      <c r="I75" s="40"/>
      <c r="J75" s="26"/>
      <c r="K75" s="100"/>
      <c r="L75" s="26"/>
      <c r="M75" s="26"/>
      <c r="N75" s="27"/>
      <c r="O75" s="26"/>
      <c r="P75" s="100">
        <f>'I Z'!F2</f>
        <v>5051.9319999999998</v>
      </c>
      <c r="Q75" s="100"/>
      <c r="R75" s="26"/>
    </row>
    <row r="76" spans="1:18" x14ac:dyDescent="0.25">
      <c r="A76" s="236" t="s">
        <v>500</v>
      </c>
      <c r="B76" s="46">
        <f>SUM(SND!F6:F35)</f>
        <v>83736.357999999993</v>
      </c>
      <c r="C76" s="27"/>
      <c r="D76" s="40"/>
      <c r="E76" s="40" t="e">
        <f>SUM(#REF!)</f>
        <v>#REF!</v>
      </c>
      <c r="F76" s="40"/>
      <c r="G76" s="26"/>
      <c r="H76" s="27">
        <f>SUM(STA!F7:F20)</f>
        <v>6198.0890000000009</v>
      </c>
      <c r="I76" s="40"/>
      <c r="J76" s="26"/>
      <c r="K76" s="100"/>
      <c r="L76" s="26"/>
      <c r="M76" s="26"/>
      <c r="N76" s="27"/>
      <c r="O76" s="26"/>
      <c r="P76" s="100"/>
      <c r="Q76" s="100"/>
      <c r="R76" s="26"/>
    </row>
    <row r="77" spans="1:18" x14ac:dyDescent="0.25">
      <c r="A77" s="236" t="s">
        <v>506</v>
      </c>
      <c r="B77" s="46">
        <f>SUM(SND!F38:F42)</f>
        <v>891.95600000000002</v>
      </c>
      <c r="C77" s="27"/>
      <c r="D77" s="40"/>
      <c r="E77" s="40" t="e">
        <f>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</f>
        <v>#REF!</v>
      </c>
      <c r="F77" s="40"/>
      <c r="G77" s="26"/>
      <c r="H77" s="27">
        <f>SUM(STA!F21)</f>
        <v>90.034999999999997</v>
      </c>
      <c r="I77" s="40"/>
      <c r="J77" s="26"/>
      <c r="K77" s="100"/>
      <c r="L77" s="26"/>
      <c r="M77" s="26"/>
      <c r="N77" s="27"/>
      <c r="O77" s="26"/>
      <c r="P77" s="100">
        <f>'I Z'!F3+'I Z'!F4</f>
        <v>1240.4829999999999</v>
      </c>
      <c r="Q77" s="100"/>
      <c r="R77" s="26"/>
    </row>
    <row r="78" spans="1:18" x14ac:dyDescent="0.25">
      <c r="A78" s="236" t="s">
        <v>256</v>
      </c>
      <c r="B78" s="46">
        <v>15000</v>
      </c>
      <c r="C78" s="27"/>
      <c r="D78" s="40"/>
      <c r="E78" s="40">
        <v>100000</v>
      </c>
      <c r="F78" s="40"/>
      <c r="G78" s="26"/>
      <c r="H78" s="27">
        <v>5000</v>
      </c>
      <c r="I78" s="40"/>
      <c r="J78" s="26"/>
      <c r="K78" s="100"/>
      <c r="L78" s="26"/>
      <c r="M78" s="26"/>
      <c r="N78" s="27"/>
      <c r="O78" s="26"/>
      <c r="P78" s="100"/>
      <c r="Q78" s="100"/>
      <c r="R78" s="26"/>
    </row>
    <row r="79" spans="1:18" x14ac:dyDescent="0.25">
      <c r="A79" s="236" t="s">
        <v>79</v>
      </c>
      <c r="B79" s="46"/>
      <c r="C79" s="27"/>
      <c r="D79" s="40"/>
      <c r="E79" s="69"/>
      <c r="F79" s="69"/>
      <c r="G79" s="26"/>
      <c r="H79" s="126">
        <v>750000</v>
      </c>
      <c r="I79" s="40"/>
      <c r="J79" s="26"/>
      <c r="K79" s="100"/>
      <c r="L79" s="251">
        <v>1200000</v>
      </c>
      <c r="M79" s="251">
        <v>3000000</v>
      </c>
      <c r="N79" s="27"/>
      <c r="O79" s="26"/>
      <c r="P79" s="100"/>
      <c r="Q79" s="100">
        <v>602000</v>
      </c>
      <c r="R79" s="26"/>
    </row>
    <row r="80" spans="1:18" x14ac:dyDescent="0.25">
      <c r="A80" s="236" t="s">
        <v>76</v>
      </c>
      <c r="B80" s="238"/>
      <c r="C80" s="27"/>
      <c r="D80" s="40"/>
      <c r="E80" s="69"/>
      <c r="F80" s="40"/>
      <c r="G80" s="26"/>
      <c r="H80" s="126">
        <v>800000</v>
      </c>
      <c r="I80" s="40"/>
      <c r="J80" s="26"/>
      <c r="K80" s="100"/>
      <c r="L80" s="26"/>
      <c r="M80" s="26"/>
      <c r="N80" s="27"/>
      <c r="O80" s="26"/>
      <c r="P80" s="100"/>
      <c r="Q80" s="100"/>
      <c r="R80" s="26"/>
    </row>
    <row r="81" spans="1:18" s="5" customFormat="1" ht="14.25" x14ac:dyDescent="0.2">
      <c r="A81" s="10" t="s">
        <v>40</v>
      </c>
      <c r="B81" s="92">
        <f>SUM(B82:B85)</f>
        <v>0</v>
      </c>
      <c r="C81" s="29">
        <f t="shared" ref="C81:R81" si="6">SUM(C82:C85)</f>
        <v>0</v>
      </c>
      <c r="D81" s="38">
        <f t="shared" si="6"/>
        <v>0</v>
      </c>
      <c r="E81" s="38">
        <f t="shared" si="6"/>
        <v>24683.75</v>
      </c>
      <c r="F81" s="38">
        <f t="shared" si="6"/>
        <v>0</v>
      </c>
      <c r="G81" s="28">
        <f t="shared" si="6"/>
        <v>0</v>
      </c>
      <c r="H81" s="29">
        <f t="shared" si="6"/>
        <v>0</v>
      </c>
      <c r="I81" s="38">
        <f t="shared" si="6"/>
        <v>0</v>
      </c>
      <c r="J81" s="28">
        <f t="shared" si="6"/>
        <v>0</v>
      </c>
      <c r="K81" s="98">
        <f t="shared" si="6"/>
        <v>0</v>
      </c>
      <c r="L81" s="28">
        <f t="shared" si="6"/>
        <v>0</v>
      </c>
      <c r="M81" s="28">
        <f t="shared" si="6"/>
        <v>0</v>
      </c>
      <c r="N81" s="29">
        <f t="shared" si="6"/>
        <v>0</v>
      </c>
      <c r="O81" s="28">
        <f t="shared" si="6"/>
        <v>0</v>
      </c>
      <c r="P81" s="98">
        <f t="shared" si="6"/>
        <v>0</v>
      </c>
      <c r="Q81" s="98">
        <f t="shared" si="6"/>
        <v>0</v>
      </c>
      <c r="R81" s="28">
        <f t="shared" si="6"/>
        <v>0</v>
      </c>
    </row>
    <row r="82" spans="1:18" x14ac:dyDescent="0.25">
      <c r="A82" s="236" t="s">
        <v>52</v>
      </c>
      <c r="B82" s="46"/>
      <c r="C82" s="27"/>
      <c r="D82" s="40"/>
      <c r="E82" s="40">
        <f>CMT!G23</f>
        <v>24683.75</v>
      </c>
      <c r="F82" s="40"/>
      <c r="G82" s="26"/>
      <c r="H82" s="27"/>
      <c r="I82" s="40"/>
      <c r="J82" s="26"/>
      <c r="K82" s="100"/>
      <c r="L82" s="26"/>
      <c r="M82" s="26"/>
      <c r="N82" s="27"/>
      <c r="O82" s="26"/>
      <c r="P82" s="100"/>
      <c r="Q82" s="100"/>
      <c r="R82" s="26"/>
    </row>
    <row r="83" spans="1:18" x14ac:dyDescent="0.25">
      <c r="A83" s="236" t="s">
        <v>523</v>
      </c>
      <c r="B83" s="46"/>
      <c r="C83" s="27"/>
      <c r="D83" s="40"/>
      <c r="E83" s="40"/>
      <c r="F83" s="40"/>
      <c r="G83" s="26"/>
      <c r="H83" s="126"/>
      <c r="I83" s="40"/>
      <c r="J83" s="26"/>
      <c r="K83" s="100"/>
      <c r="L83" s="26"/>
      <c r="M83" s="26"/>
      <c r="N83" s="27"/>
      <c r="O83" s="26"/>
      <c r="P83" s="100"/>
      <c r="Q83" s="100"/>
      <c r="R83" s="26"/>
    </row>
    <row r="84" spans="1:18" x14ac:dyDescent="0.25">
      <c r="A84" s="236" t="s">
        <v>348</v>
      </c>
      <c r="B84" s="46"/>
      <c r="C84" s="27"/>
      <c r="D84" s="40"/>
      <c r="E84" s="40"/>
      <c r="F84" s="40"/>
      <c r="G84" s="26"/>
      <c r="H84" s="27"/>
      <c r="I84" s="40"/>
      <c r="J84" s="26"/>
      <c r="K84" s="100"/>
      <c r="L84" s="26"/>
      <c r="M84" s="26"/>
      <c r="N84" s="27"/>
      <c r="O84" s="26"/>
      <c r="P84" s="100"/>
      <c r="Q84" s="100"/>
      <c r="R84" s="26"/>
    </row>
    <row r="85" spans="1:18" x14ac:dyDescent="0.25">
      <c r="A85" s="236" t="s">
        <v>308</v>
      </c>
      <c r="B85" s="46"/>
      <c r="C85" s="27"/>
      <c r="D85" s="40"/>
      <c r="E85" s="40"/>
      <c r="F85" s="40"/>
      <c r="G85" s="26"/>
      <c r="H85" s="27"/>
      <c r="I85" s="40"/>
      <c r="J85" s="26"/>
      <c r="K85" s="100"/>
      <c r="L85" s="26"/>
      <c r="M85" s="26"/>
      <c r="N85" s="27"/>
      <c r="O85" s="26"/>
      <c r="P85" s="100"/>
      <c r="Q85" s="100"/>
      <c r="R85" s="26"/>
    </row>
    <row r="86" spans="1:18" s="8" customFormat="1" x14ac:dyDescent="0.25">
      <c r="A86" s="11" t="s">
        <v>1301</v>
      </c>
      <c r="B86" s="91">
        <f t="shared" ref="B86:R86" si="7">B3+B4+B9-B33</f>
        <v>-379448.21800000011</v>
      </c>
      <c r="C86" s="41">
        <f t="shared" si="7"/>
        <v>3774.058</v>
      </c>
      <c r="D86" s="43">
        <f t="shared" si="7"/>
        <v>58515.06</v>
      </c>
      <c r="E86" s="43" t="e">
        <f t="shared" si="7"/>
        <v>#REF!</v>
      </c>
      <c r="F86" s="43">
        <f t="shared" si="7"/>
        <v>269644.53999999998</v>
      </c>
      <c r="G86" s="42">
        <f t="shared" si="7"/>
        <v>13.73</v>
      </c>
      <c r="H86" s="41" t="e">
        <f t="shared" si="7"/>
        <v>#REF!</v>
      </c>
      <c r="I86" s="43">
        <f t="shared" si="7"/>
        <v>3.09</v>
      </c>
      <c r="J86" s="42">
        <f t="shared" si="7"/>
        <v>21.54</v>
      </c>
      <c r="K86" s="101">
        <f t="shared" si="7"/>
        <v>2466.6949999999997</v>
      </c>
      <c r="L86" s="42">
        <f t="shared" si="7"/>
        <v>341851.2790000001</v>
      </c>
      <c r="M86" s="42">
        <f t="shared" si="7"/>
        <v>16322.848000000231</v>
      </c>
      <c r="N86" s="41">
        <f t="shared" si="7"/>
        <v>1300.3540000000003</v>
      </c>
      <c r="O86" s="42">
        <f t="shared" si="7"/>
        <v>39.01</v>
      </c>
      <c r="P86" s="101">
        <f t="shared" si="7"/>
        <v>110718.55200000001</v>
      </c>
      <c r="Q86" s="101">
        <f t="shared" si="7"/>
        <v>-6247.5699999999488</v>
      </c>
      <c r="R86" s="42">
        <f t="shared" si="7"/>
        <v>-75.388999999999996</v>
      </c>
    </row>
    <row r="87" spans="1:18" s="8" customFormat="1" ht="15.75" thickBot="1" x14ac:dyDescent="0.3">
      <c r="A87" s="242" t="s">
        <v>41</v>
      </c>
      <c r="B87" s="96">
        <v>-500000</v>
      </c>
      <c r="C87" s="25">
        <v>0</v>
      </c>
      <c r="D87" s="44">
        <v>0</v>
      </c>
      <c r="E87" s="44">
        <v>-3000000</v>
      </c>
      <c r="F87" s="44">
        <v>0</v>
      </c>
      <c r="G87" s="24">
        <v>0</v>
      </c>
      <c r="H87" s="25">
        <v>0</v>
      </c>
      <c r="I87" s="44">
        <v>0</v>
      </c>
      <c r="J87" s="24">
        <v>0</v>
      </c>
      <c r="K87" s="102">
        <v>0</v>
      </c>
      <c r="L87" s="24">
        <v>0</v>
      </c>
      <c r="M87" s="24">
        <v>0</v>
      </c>
      <c r="N87" s="25">
        <v>0</v>
      </c>
      <c r="O87" s="24">
        <v>0</v>
      </c>
      <c r="P87" s="102">
        <v>0</v>
      </c>
      <c r="Q87" s="102">
        <v>0</v>
      </c>
      <c r="R87" s="24">
        <v>0</v>
      </c>
    </row>
    <row r="89" spans="1:18" s="243" customFormat="1" ht="14.25" x14ac:dyDescent="0.2">
      <c r="B89" s="67">
        <f>B87-B86</f>
        <v>-120551.78199999989</v>
      </c>
      <c r="C89" s="67"/>
      <c r="D89" s="67"/>
      <c r="E89" s="67" t="e">
        <f>E87-E86</f>
        <v>#REF!</v>
      </c>
      <c r="F89" s="67"/>
      <c r="G89" s="67"/>
      <c r="H89" s="67"/>
      <c r="I89" s="67"/>
      <c r="J89" s="67"/>
    </row>
    <row r="90" spans="1:18" s="243" customFormat="1" ht="14.25" x14ac:dyDescent="0.2">
      <c r="B90" s="67"/>
      <c r="C90" s="67"/>
      <c r="D90" s="67"/>
      <c r="E90" s="67"/>
      <c r="F90" s="67"/>
      <c r="G90" s="67"/>
      <c r="H90" s="67"/>
      <c r="I90" s="67"/>
      <c r="J90" s="67"/>
    </row>
    <row r="91" spans="1:18" s="66" customFormat="1" x14ac:dyDescent="0.25">
      <c r="B91" s="67"/>
      <c r="C91" s="67"/>
      <c r="D91" s="67"/>
      <c r="E91" s="67"/>
      <c r="F91" s="65"/>
      <c r="G91" s="65"/>
      <c r="H91" s="65"/>
      <c r="I91" s="65"/>
      <c r="J91" s="65"/>
    </row>
  </sheetData>
  <mergeCells count="3">
    <mergeCell ref="C1:G1"/>
    <mergeCell ref="H1:J1"/>
    <mergeCell ref="N1:O1"/>
  </mergeCells>
  <pageMargins left="0.7" right="0.7" top="0.75" bottom="0.75" header="0.3" footer="0.3"/>
  <pageSetup paperSize="9" orientation="portrait" horizontalDpi="180" verticalDpi="180" r:id="rId1"/>
  <ignoredErrors>
    <ignoredError sqref="M14:N14 C9 C49 R49 E9:P9 E49:P49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98"/>
  <sheetViews>
    <sheetView zoomScaleNormal="100" workbookViewId="0">
      <selection activeCell="A21" sqref="A21:XFD21"/>
    </sheetView>
  </sheetViews>
  <sheetFormatPr baseColWidth="10" defaultRowHeight="12.75" x14ac:dyDescent="0.2"/>
  <cols>
    <col min="1" max="1" width="16.140625" style="1" bestFit="1" customWidth="1"/>
    <col min="2" max="2" width="9.42578125" style="1" bestFit="1" customWidth="1"/>
    <col min="3" max="3" width="10.85546875" style="1" bestFit="1" customWidth="1"/>
    <col min="4" max="4" width="9.5703125" style="76" bestFit="1" customWidth="1"/>
    <col min="5" max="5" width="11.7109375" style="1" bestFit="1" customWidth="1"/>
    <col min="6" max="6" width="9" style="1" bestFit="1" customWidth="1"/>
    <col min="7" max="7" width="6.140625" style="1" bestFit="1" customWidth="1"/>
    <col min="8" max="8" width="15.140625" style="1" bestFit="1" customWidth="1"/>
    <col min="9" max="12" width="11.42578125" style="1"/>
    <col min="13" max="13" width="11" style="1" bestFit="1" customWidth="1"/>
    <col min="14" max="16384" width="11.42578125" style="1"/>
  </cols>
  <sheetData>
    <row r="1" spans="1:12" x14ac:dyDescent="0.2">
      <c r="A1" s="12">
        <f ca="1">TODAY()</f>
        <v>45668</v>
      </c>
    </row>
    <row r="2" spans="1:12" x14ac:dyDescent="0.2">
      <c r="A2" s="1" t="s">
        <v>42</v>
      </c>
      <c r="C2" s="12">
        <v>44246</v>
      </c>
      <c r="D2" s="253">
        <v>3.2884000000000002</v>
      </c>
    </row>
    <row r="3" spans="1:12" x14ac:dyDescent="0.2">
      <c r="A3" s="1" t="s">
        <v>43</v>
      </c>
      <c r="C3" s="12">
        <v>44246</v>
      </c>
      <c r="D3" s="253">
        <v>2.7353999999999998</v>
      </c>
      <c r="I3" s="198"/>
    </row>
    <row r="4" spans="1:12" x14ac:dyDescent="0.2">
      <c r="A4" s="1" t="s">
        <v>44</v>
      </c>
      <c r="C4" s="12">
        <v>44246</v>
      </c>
      <c r="D4" s="253">
        <v>3.7906</v>
      </c>
      <c r="I4" s="262"/>
    </row>
    <row r="5" spans="1:12" ht="13.5" thickBot="1" x14ac:dyDescent="0.25">
      <c r="A5" s="1" t="s">
        <v>95</v>
      </c>
      <c r="C5" s="12">
        <v>44246</v>
      </c>
      <c r="D5" s="253">
        <v>0.42009999999999997</v>
      </c>
    </row>
    <row r="6" spans="1:12" ht="13.5" thickBot="1" x14ac:dyDescent="0.25">
      <c r="A6" s="654" t="s">
        <v>45</v>
      </c>
      <c r="B6" s="655"/>
      <c r="C6" s="655"/>
      <c r="D6" s="655"/>
      <c r="E6" s="655"/>
      <c r="F6" s="656"/>
    </row>
    <row r="7" spans="1:12" ht="13.5" thickBot="1" x14ac:dyDescent="0.25">
      <c r="A7" s="344" t="s">
        <v>46</v>
      </c>
      <c r="B7" s="345" t="s">
        <v>47</v>
      </c>
      <c r="C7" s="345" t="s">
        <v>48</v>
      </c>
      <c r="D7" s="77" t="s">
        <v>49</v>
      </c>
      <c r="E7" s="345" t="s">
        <v>3</v>
      </c>
      <c r="F7" s="346" t="s">
        <v>358</v>
      </c>
    </row>
    <row r="8" spans="1:12" ht="13.5" thickBot="1" x14ac:dyDescent="0.25">
      <c r="A8" s="152" t="s">
        <v>88</v>
      </c>
      <c r="B8" s="153" t="s">
        <v>16</v>
      </c>
      <c r="C8" s="250">
        <v>161190</v>
      </c>
      <c r="D8" s="155">
        <f>+C8*D2</f>
        <v>530057.196</v>
      </c>
      <c r="E8" s="250">
        <f>12000+12000+12000+12000+12000+12000+12000+7000</f>
        <v>91000</v>
      </c>
      <c r="F8" s="53">
        <f>+C8-E8</f>
        <v>70190</v>
      </c>
    </row>
    <row r="9" spans="1:12" ht="13.5" thickBot="1" x14ac:dyDescent="0.25">
      <c r="A9" s="649" t="s">
        <v>50</v>
      </c>
      <c r="B9" s="650"/>
      <c r="C9" s="89">
        <f>SUM(C8:C8)</f>
        <v>161190</v>
      </c>
    </row>
    <row r="10" spans="1:12" ht="13.5" thickBot="1" x14ac:dyDescent="0.25">
      <c r="A10" s="83"/>
      <c r="B10" s="83"/>
      <c r="C10" s="72"/>
    </row>
    <row r="11" spans="1:12" ht="13.5" thickBot="1" x14ac:dyDescent="0.25">
      <c r="A11" s="152"/>
      <c r="B11" s="153"/>
      <c r="C11" s="154"/>
      <c r="D11" s="155"/>
      <c r="E11" s="156"/>
      <c r="F11" s="310"/>
      <c r="G11" s="84"/>
    </row>
    <row r="12" spans="1:12" ht="13.5" thickBot="1" x14ac:dyDescent="0.25">
      <c r="A12" s="654" t="s">
        <v>50</v>
      </c>
      <c r="B12" s="655"/>
      <c r="C12" s="53">
        <f>SUM(C11:C11)</f>
        <v>0</v>
      </c>
      <c r="D12" s="79"/>
      <c r="E12" s="13"/>
      <c r="F12" s="13"/>
    </row>
    <row r="13" spans="1:12" ht="13.5" thickBot="1" x14ac:dyDescent="0.25"/>
    <row r="14" spans="1:12" ht="13.5" thickBot="1" x14ac:dyDescent="0.25">
      <c r="A14" s="152"/>
      <c r="B14" s="153"/>
      <c r="C14" s="154"/>
      <c r="D14" s="155"/>
      <c r="E14" s="156"/>
      <c r="F14" s="310"/>
      <c r="G14" s="84"/>
    </row>
    <row r="15" spans="1:12" ht="13.5" thickBot="1" x14ac:dyDescent="0.25">
      <c r="A15" s="654" t="s">
        <v>50</v>
      </c>
      <c r="B15" s="655"/>
      <c r="C15" s="53">
        <f>SUM(C14:C14)</f>
        <v>0</v>
      </c>
      <c r="D15" s="79"/>
      <c r="E15" s="13"/>
      <c r="F15" s="13"/>
      <c r="L15" s="198"/>
    </row>
    <row r="16" spans="1:12" ht="13.5" thickBot="1" x14ac:dyDescent="0.25"/>
    <row r="17" spans="1:15" ht="13.5" thickBot="1" x14ac:dyDescent="0.25">
      <c r="A17" s="152"/>
      <c r="B17" s="153"/>
      <c r="C17" s="154"/>
      <c r="D17" s="155"/>
      <c r="E17" s="156"/>
      <c r="F17" s="310"/>
    </row>
    <row r="18" spans="1:15" ht="13.5" thickBot="1" x14ac:dyDescent="0.25">
      <c r="A18" s="654" t="s">
        <v>50</v>
      </c>
      <c r="B18" s="655"/>
      <c r="C18" s="53">
        <f>SUM(C17:C17)</f>
        <v>0</v>
      </c>
      <c r="D18" s="79"/>
      <c r="E18" s="13"/>
      <c r="F18" s="13"/>
      <c r="O18" s="70"/>
    </row>
    <row r="19" spans="1:15" ht="13.5" thickBot="1" x14ac:dyDescent="0.25"/>
    <row r="20" spans="1:15" ht="13.5" thickBot="1" x14ac:dyDescent="0.25">
      <c r="A20" s="654" t="s">
        <v>51</v>
      </c>
      <c r="B20" s="655"/>
      <c r="C20" s="655"/>
      <c r="D20" s="655"/>
      <c r="E20" s="655"/>
      <c r="F20" s="656"/>
    </row>
    <row r="21" spans="1:15" x14ac:dyDescent="0.2">
      <c r="A21" s="637" t="s">
        <v>890</v>
      </c>
      <c r="B21" s="638" t="s">
        <v>16</v>
      </c>
      <c r="C21" s="639">
        <v>56767.16</v>
      </c>
      <c r="D21" s="640">
        <f t="shared" ref="D21:D30" si="0">+C21*$D$2</f>
        <v>186673.12894400003</v>
      </c>
      <c r="E21" s="641">
        <v>44246</v>
      </c>
      <c r="F21" s="642">
        <f t="shared" ref="F21:F30" si="1">E21+90</f>
        <v>44336</v>
      </c>
      <c r="H21" s="12"/>
      <c r="J21" s="599"/>
      <c r="K21" s="600"/>
      <c r="L21" s="601"/>
      <c r="M21" s="599"/>
      <c r="N21" s="599"/>
      <c r="O21" s="599"/>
    </row>
    <row r="22" spans="1:15" x14ac:dyDescent="0.2">
      <c r="A22" s="637" t="s">
        <v>972</v>
      </c>
      <c r="B22" s="638" t="s">
        <v>16</v>
      </c>
      <c r="C22" s="639">
        <v>26786.47</v>
      </c>
      <c r="D22" s="640">
        <f t="shared" si="0"/>
        <v>88084.627948000008</v>
      </c>
      <c r="E22" s="641">
        <v>44257</v>
      </c>
      <c r="F22" s="642">
        <f t="shared" si="1"/>
        <v>44347</v>
      </c>
      <c r="H22" s="12"/>
      <c r="J22" s="599"/>
      <c r="K22" s="600"/>
      <c r="L22" s="601"/>
      <c r="M22" s="599"/>
      <c r="N22" s="599"/>
      <c r="O22" s="599"/>
    </row>
    <row r="23" spans="1:15" x14ac:dyDescent="0.2">
      <c r="A23" s="71" t="s">
        <v>1046</v>
      </c>
      <c r="B23" s="108" t="s">
        <v>16</v>
      </c>
      <c r="C23" s="109">
        <v>60060.79</v>
      </c>
      <c r="D23" s="88">
        <f t="shared" si="0"/>
        <v>197503.901836</v>
      </c>
      <c r="E23" s="107">
        <v>44288</v>
      </c>
      <c r="F23" s="598">
        <f t="shared" si="1"/>
        <v>44378</v>
      </c>
      <c r="H23" s="12"/>
      <c r="J23" s="599"/>
      <c r="K23" s="600"/>
      <c r="L23" s="601"/>
      <c r="M23" s="599"/>
      <c r="N23" s="599"/>
      <c r="O23" s="599"/>
    </row>
    <row r="24" spans="1:15" x14ac:dyDescent="0.2">
      <c r="A24" s="71" t="s">
        <v>1047</v>
      </c>
      <c r="B24" s="108" t="s">
        <v>16</v>
      </c>
      <c r="C24" s="109">
        <v>52908.42</v>
      </c>
      <c r="D24" s="88">
        <f t="shared" si="0"/>
        <v>173984.048328</v>
      </c>
      <c r="E24" s="107">
        <v>44293</v>
      </c>
      <c r="F24" s="598">
        <f t="shared" si="1"/>
        <v>44383</v>
      </c>
      <c r="H24" s="12"/>
      <c r="J24" s="599"/>
      <c r="K24" s="600"/>
      <c r="L24" s="601"/>
      <c r="M24" s="599"/>
      <c r="N24" s="599"/>
      <c r="O24" s="599"/>
    </row>
    <row r="25" spans="1:15" x14ac:dyDescent="0.2">
      <c r="A25" s="71" t="s">
        <v>1048</v>
      </c>
      <c r="B25" s="108" t="s">
        <v>16</v>
      </c>
      <c r="C25" s="109">
        <v>28116.25</v>
      </c>
      <c r="D25" s="88">
        <f t="shared" si="0"/>
        <v>92457.476500000004</v>
      </c>
      <c r="E25" s="107">
        <v>44294</v>
      </c>
      <c r="F25" s="598">
        <f t="shared" si="1"/>
        <v>44384</v>
      </c>
      <c r="H25" s="12"/>
      <c r="J25" s="599"/>
      <c r="K25" s="600"/>
      <c r="L25" s="601"/>
      <c r="M25" s="599"/>
      <c r="N25" s="599"/>
      <c r="O25" s="599"/>
    </row>
    <row r="26" spans="1:15" x14ac:dyDescent="0.2">
      <c r="A26" s="71" t="s">
        <v>1111</v>
      </c>
      <c r="B26" s="108" t="s">
        <v>16</v>
      </c>
      <c r="C26" s="109">
        <v>17322.349999999999</v>
      </c>
      <c r="D26" s="88">
        <f t="shared" si="0"/>
        <v>56962.815739999998</v>
      </c>
      <c r="E26" s="107">
        <v>44313</v>
      </c>
      <c r="F26" s="598">
        <f t="shared" si="1"/>
        <v>44403</v>
      </c>
      <c r="H26" s="12"/>
      <c r="J26" s="599"/>
      <c r="K26" s="600"/>
      <c r="L26" s="601"/>
      <c r="M26" s="599"/>
      <c r="N26" s="599"/>
      <c r="O26" s="599"/>
    </row>
    <row r="27" spans="1:15" x14ac:dyDescent="0.2">
      <c r="A27" s="71" t="s">
        <v>1112</v>
      </c>
      <c r="B27" s="108" t="s">
        <v>16</v>
      </c>
      <c r="C27" s="109">
        <v>41627.32</v>
      </c>
      <c r="D27" s="88">
        <f t="shared" si="0"/>
        <v>136887.27908800001</v>
      </c>
      <c r="E27" s="107">
        <v>44315</v>
      </c>
      <c r="F27" s="598">
        <f t="shared" si="1"/>
        <v>44405</v>
      </c>
      <c r="H27" s="12"/>
      <c r="J27" s="599"/>
      <c r="K27" s="600"/>
      <c r="L27" s="601"/>
      <c r="M27" s="599"/>
      <c r="N27" s="599"/>
      <c r="O27" s="599"/>
    </row>
    <row r="28" spans="1:15" x14ac:dyDescent="0.2">
      <c r="A28" s="71" t="s">
        <v>1113</v>
      </c>
      <c r="B28" s="108" t="s">
        <v>16</v>
      </c>
      <c r="C28" s="109">
        <v>50606.11</v>
      </c>
      <c r="D28" s="88">
        <f t="shared" si="0"/>
        <v>166413.13212400003</v>
      </c>
      <c r="E28" s="107">
        <v>44330</v>
      </c>
      <c r="F28" s="598">
        <f t="shared" si="1"/>
        <v>44420</v>
      </c>
      <c r="H28" s="12"/>
      <c r="J28" s="599"/>
      <c r="K28" s="600"/>
      <c r="L28" s="601"/>
      <c r="M28" s="599"/>
      <c r="N28" s="599"/>
      <c r="O28" s="599"/>
    </row>
    <row r="29" spans="1:15" x14ac:dyDescent="0.2">
      <c r="A29" s="71" t="s">
        <v>1114</v>
      </c>
      <c r="B29" s="108" t="s">
        <v>16</v>
      </c>
      <c r="C29" s="109">
        <v>663.8</v>
      </c>
      <c r="D29" s="88">
        <f t="shared" si="0"/>
        <v>2182.8399199999999</v>
      </c>
      <c r="E29" s="107">
        <v>44323</v>
      </c>
      <c r="F29" s="598">
        <f t="shared" si="1"/>
        <v>44413</v>
      </c>
      <c r="H29" s="12"/>
      <c r="J29" s="599"/>
      <c r="K29" s="600"/>
      <c r="L29" s="601"/>
      <c r="M29" s="599"/>
      <c r="N29" s="599"/>
      <c r="O29" s="599"/>
    </row>
    <row r="30" spans="1:15" x14ac:dyDescent="0.2">
      <c r="A30" s="71" t="s">
        <v>1115</v>
      </c>
      <c r="B30" s="108" t="s">
        <v>16</v>
      </c>
      <c r="C30" s="109">
        <v>12579.45</v>
      </c>
      <c r="D30" s="88">
        <f t="shared" si="0"/>
        <v>41366.263380000004</v>
      </c>
      <c r="E30" s="107">
        <v>44333</v>
      </c>
      <c r="F30" s="598">
        <f t="shared" si="1"/>
        <v>44423</v>
      </c>
      <c r="H30" s="12"/>
      <c r="J30" s="599"/>
      <c r="K30" s="600"/>
      <c r="L30" s="601"/>
      <c r="M30" s="599"/>
      <c r="N30" s="599"/>
      <c r="O30" s="599"/>
    </row>
    <row r="31" spans="1:15" ht="13.5" thickBot="1" x14ac:dyDescent="0.25">
      <c r="A31" s="55"/>
      <c r="B31" s="68"/>
      <c r="C31" s="56"/>
      <c r="D31" s="80"/>
      <c r="E31" s="158"/>
      <c r="F31" s="159"/>
      <c r="H31" s="12"/>
      <c r="K31" s="12"/>
      <c r="L31" s="198"/>
    </row>
    <row r="32" spans="1:15" ht="13.5" thickBot="1" x14ac:dyDescent="0.25">
      <c r="A32" s="654" t="s">
        <v>50</v>
      </c>
      <c r="B32" s="655"/>
      <c r="C32" s="53">
        <f>SUM(C21:C31)</f>
        <v>347438.12</v>
      </c>
      <c r="D32" s="79"/>
      <c r="E32" s="13"/>
      <c r="F32" s="13"/>
    </row>
    <row r="33" spans="1:12" ht="13.5" thickBot="1" x14ac:dyDescent="0.25">
      <c r="A33" s="83"/>
      <c r="B33" s="83"/>
      <c r="C33" s="72"/>
      <c r="D33" s="81"/>
      <c r="E33" s="82"/>
      <c r="F33" s="82"/>
    </row>
    <row r="34" spans="1:12" ht="13.5" thickBot="1" x14ac:dyDescent="0.25">
      <c r="A34" s="152" t="s">
        <v>891</v>
      </c>
      <c r="B34" s="153" t="s">
        <v>16</v>
      </c>
      <c r="C34" s="250">
        <v>12923.51</v>
      </c>
      <c r="D34" s="155">
        <f>+C34*D2</f>
        <v>42497.670284000007</v>
      </c>
      <c r="E34" s="156">
        <v>44298</v>
      </c>
      <c r="F34" s="310">
        <v>44377</v>
      </c>
      <c r="H34" s="1" t="s">
        <v>892</v>
      </c>
    </row>
    <row r="35" spans="1:12" ht="13.5" thickBot="1" x14ac:dyDescent="0.25">
      <c r="A35" s="654" t="s">
        <v>50</v>
      </c>
      <c r="B35" s="655"/>
      <c r="C35" s="53">
        <f>SUM(C34)</f>
        <v>12923.51</v>
      </c>
      <c r="D35" s="79"/>
      <c r="E35" s="13"/>
      <c r="F35" s="13"/>
      <c r="L35" s="199"/>
    </row>
    <row r="36" spans="1:12" ht="13.5" thickBot="1" x14ac:dyDescent="0.25">
      <c r="A36" s="209"/>
      <c r="B36" s="209"/>
      <c r="C36" s="210"/>
      <c r="D36" s="81"/>
      <c r="E36" s="82"/>
      <c r="F36" s="82"/>
      <c r="L36" s="198"/>
    </row>
    <row r="37" spans="1:12" x14ac:dyDescent="0.2">
      <c r="A37" s="104" t="s">
        <v>1118</v>
      </c>
      <c r="B37" s="16" t="s">
        <v>1119</v>
      </c>
      <c r="C37" s="458">
        <v>20785</v>
      </c>
      <c r="D37" s="105">
        <f>+C37*D4</f>
        <v>78787.620999999999</v>
      </c>
      <c r="E37" s="157"/>
      <c r="F37" s="263">
        <v>44372</v>
      </c>
    </row>
    <row r="38" spans="1:12" ht="13.5" thickBot="1" x14ac:dyDescent="0.25">
      <c r="A38" s="55"/>
      <c r="B38" s="68"/>
      <c r="C38" s="348"/>
      <c r="D38" s="80"/>
      <c r="E38" s="158"/>
      <c r="F38" s="159"/>
    </row>
    <row r="39" spans="1:12" ht="13.5" thickBot="1" x14ac:dyDescent="0.25">
      <c r="A39" s="654" t="s">
        <v>50</v>
      </c>
      <c r="B39" s="655"/>
      <c r="C39" s="53">
        <f>SUM(C37:C38)</f>
        <v>20785</v>
      </c>
      <c r="D39" s="79"/>
      <c r="E39" s="13"/>
      <c r="F39" s="13"/>
    </row>
    <row r="40" spans="1:12" ht="13.5" thickBot="1" x14ac:dyDescent="0.25">
      <c r="A40" s="83"/>
      <c r="B40" s="83"/>
      <c r="C40" s="72"/>
      <c r="D40" s="81"/>
      <c r="E40" s="82"/>
      <c r="F40" s="82"/>
    </row>
    <row r="41" spans="1:12" x14ac:dyDescent="0.2">
      <c r="A41" s="460" t="s">
        <v>763</v>
      </c>
      <c r="B41" s="461" t="s">
        <v>16</v>
      </c>
      <c r="C41" s="347">
        <v>80151.97</v>
      </c>
      <c r="D41" s="458">
        <f>+C41*D2</f>
        <v>263571.73814800003</v>
      </c>
      <c r="E41" s="157">
        <v>44043</v>
      </c>
      <c r="F41" s="459">
        <v>44043</v>
      </c>
      <c r="H41" s="1" t="s">
        <v>764</v>
      </c>
    </row>
    <row r="42" spans="1:12" ht="13.5" thickBot="1" x14ac:dyDescent="0.25">
      <c r="A42" s="462"/>
      <c r="B42" s="463"/>
      <c r="C42" s="348"/>
      <c r="D42" s="56"/>
      <c r="E42" s="463"/>
      <c r="F42" s="464"/>
    </row>
    <row r="43" spans="1:12" ht="13.5" thickBot="1" x14ac:dyDescent="0.25">
      <c r="A43" s="649" t="s">
        <v>50</v>
      </c>
      <c r="B43" s="650"/>
      <c r="C43" s="89">
        <f>SUM(C41:C41)</f>
        <v>80151.97</v>
      </c>
    </row>
    <row r="44" spans="1:12" ht="13.5" thickBot="1" x14ac:dyDescent="0.25"/>
    <row r="45" spans="1:12" x14ac:dyDescent="0.2">
      <c r="A45" s="104" t="s">
        <v>1116</v>
      </c>
      <c r="B45" s="16" t="s">
        <v>16</v>
      </c>
      <c r="C45" s="458">
        <v>34696.199999999997</v>
      </c>
      <c r="D45" s="458">
        <f>+C45*D2</f>
        <v>114094.98407999999</v>
      </c>
      <c r="E45" s="157">
        <v>44320</v>
      </c>
      <c r="F45" s="459">
        <f>+E45+90</f>
        <v>44410</v>
      </c>
    </row>
    <row r="46" spans="1:12" x14ac:dyDescent="0.2">
      <c r="A46" s="71" t="s">
        <v>1117</v>
      </c>
      <c r="B46" s="85" t="s">
        <v>16</v>
      </c>
      <c r="C46" s="86">
        <v>33961.019999999997</v>
      </c>
      <c r="D46" s="86">
        <f>+C46*D3</f>
        <v>92896.97410799998</v>
      </c>
      <c r="E46" s="193"/>
      <c r="F46" s="596"/>
    </row>
    <row r="47" spans="1:12" ht="13.5" thickBot="1" x14ac:dyDescent="0.25">
      <c r="A47" s="55"/>
      <c r="B47" s="68"/>
      <c r="C47" s="56"/>
      <c r="D47" s="56"/>
      <c r="E47" s="158"/>
      <c r="F47" s="597"/>
    </row>
    <row r="48" spans="1:12" ht="13.5" thickBot="1" x14ac:dyDescent="0.25">
      <c r="A48" s="649" t="s">
        <v>50</v>
      </c>
      <c r="B48" s="650"/>
      <c r="C48" s="89">
        <f>SUM(C45:C47)</f>
        <v>68657.22</v>
      </c>
    </row>
    <row r="49" spans="1:9" ht="13.5" thickBot="1" x14ac:dyDescent="0.25"/>
    <row r="50" spans="1:9" x14ac:dyDescent="0.2">
      <c r="A50" s="104" t="s">
        <v>1120</v>
      </c>
      <c r="B50" s="16" t="s">
        <v>1119</v>
      </c>
      <c r="C50" s="458">
        <v>6399</v>
      </c>
      <c r="D50" s="105">
        <f>+C50*D4</f>
        <v>24256.0494</v>
      </c>
      <c r="E50" s="157"/>
      <c r="F50" s="459"/>
    </row>
    <row r="51" spans="1:9" ht="13.5" thickBot="1" x14ac:dyDescent="0.25">
      <c r="A51" s="55"/>
      <c r="B51" s="68"/>
      <c r="C51" s="56"/>
      <c r="D51" s="80"/>
      <c r="E51" s="355"/>
      <c r="F51" s="356"/>
    </row>
    <row r="52" spans="1:9" ht="13.5" thickBot="1" x14ac:dyDescent="0.25">
      <c r="A52" s="649" t="s">
        <v>50</v>
      </c>
      <c r="B52" s="650"/>
      <c r="C52" s="89">
        <f>SUM(C50:C51)</f>
        <v>6399</v>
      </c>
      <c r="I52" s="70"/>
    </row>
    <row r="53" spans="1:9" ht="13.5" thickBot="1" x14ac:dyDescent="0.25"/>
    <row r="54" spans="1:9" ht="13.5" thickBot="1" x14ac:dyDescent="0.25">
      <c r="A54" s="152" t="s">
        <v>1121</v>
      </c>
      <c r="B54" s="153" t="s">
        <v>16</v>
      </c>
      <c r="C54" s="154">
        <v>15225</v>
      </c>
      <c r="D54" s="154">
        <f>+C54*D2</f>
        <v>50065.890000000007</v>
      </c>
      <c r="E54" s="156"/>
      <c r="F54" s="465"/>
    </row>
    <row r="55" spans="1:9" ht="13.5" thickBot="1" x14ac:dyDescent="0.25">
      <c r="A55" s="649" t="s">
        <v>50</v>
      </c>
      <c r="B55" s="650"/>
      <c r="C55" s="89">
        <f>SUM(C54:C54)</f>
        <v>15225</v>
      </c>
    </row>
    <row r="56" spans="1:9" ht="13.5" thickBot="1" x14ac:dyDescent="0.25"/>
    <row r="57" spans="1:9" x14ac:dyDescent="0.2">
      <c r="A57" s="57" t="s">
        <v>485</v>
      </c>
      <c r="B57" s="59" t="s">
        <v>16</v>
      </c>
      <c r="C57" s="54">
        <v>4199.57</v>
      </c>
      <c r="D57" s="60">
        <f>+C57*D2</f>
        <v>13809.865988</v>
      </c>
      <c r="E57" s="58">
        <v>43951</v>
      </c>
      <c r="F57" s="61">
        <f>+E57</f>
        <v>43951</v>
      </c>
      <c r="H57" s="1" t="s">
        <v>486</v>
      </c>
    </row>
    <row r="58" spans="1:9" x14ac:dyDescent="0.2">
      <c r="A58" s="71"/>
      <c r="B58" s="85"/>
      <c r="C58" s="86"/>
      <c r="D58" s="86"/>
      <c r="E58" s="193"/>
      <c r="F58" s="596"/>
    </row>
    <row r="59" spans="1:9" x14ac:dyDescent="0.2">
      <c r="A59" s="87"/>
      <c r="B59" s="108"/>
      <c r="C59" s="109"/>
      <c r="D59" s="109"/>
      <c r="E59" s="107"/>
      <c r="F59" s="110"/>
    </row>
    <row r="60" spans="1:9" ht="11.25" customHeight="1" thickBot="1" x14ac:dyDescent="0.25">
      <c r="A60" s="55"/>
      <c r="B60" s="68"/>
      <c r="C60" s="348"/>
      <c r="D60" s="56"/>
      <c r="E60" s="531"/>
      <c r="F60" s="532"/>
    </row>
    <row r="61" spans="1:9" ht="13.5" thickBot="1" x14ac:dyDescent="0.25">
      <c r="A61" s="649" t="s">
        <v>50</v>
      </c>
      <c r="B61" s="650"/>
      <c r="C61" s="89">
        <f>SUM(C57:C60)</f>
        <v>4199.57</v>
      </c>
    </row>
    <row r="62" spans="1:9" ht="13.5" thickBot="1" x14ac:dyDescent="0.25"/>
    <row r="63" spans="1:9" ht="13.5" thickBot="1" x14ac:dyDescent="0.25">
      <c r="A63" s="152"/>
      <c r="B63" s="153"/>
      <c r="C63" s="154"/>
      <c r="D63" s="154"/>
      <c r="E63" s="156"/>
      <c r="F63" s="465"/>
      <c r="I63" s="70"/>
    </row>
    <row r="64" spans="1:9" ht="13.5" thickBot="1" x14ac:dyDescent="0.25">
      <c r="A64" s="649" t="s">
        <v>50</v>
      </c>
      <c r="B64" s="650"/>
      <c r="C64" s="89">
        <f>SUM(C63:C63)</f>
        <v>0</v>
      </c>
    </row>
    <row r="65" spans="1:10" ht="13.5" thickBot="1" x14ac:dyDescent="0.25"/>
    <row r="66" spans="1:10" ht="13.5" thickBot="1" x14ac:dyDescent="0.25">
      <c r="A66" s="152" t="s">
        <v>973</v>
      </c>
      <c r="B66" s="153" t="s">
        <v>16</v>
      </c>
      <c r="C66" s="154">
        <v>31751.91</v>
      </c>
      <c r="D66" s="154">
        <f>+C66*D2</f>
        <v>104412.98084400001</v>
      </c>
      <c r="E66" s="156">
        <v>44271</v>
      </c>
      <c r="F66" s="465">
        <f>+E66+90</f>
        <v>44361</v>
      </c>
    </row>
    <row r="67" spans="1:10" ht="13.5" thickBot="1" x14ac:dyDescent="0.25">
      <c r="A67" s="649" t="s">
        <v>50</v>
      </c>
      <c r="B67" s="650"/>
      <c r="C67" s="89">
        <f>SUM(C66:C66)</f>
        <v>31751.91</v>
      </c>
    </row>
    <row r="68" spans="1:10" ht="13.5" thickBot="1" x14ac:dyDescent="0.25">
      <c r="J68" s="70"/>
    </row>
    <row r="69" spans="1:10" x14ac:dyDescent="0.2">
      <c r="A69" s="104" t="s">
        <v>981</v>
      </c>
      <c r="B69" s="16" t="s">
        <v>18</v>
      </c>
      <c r="C69" s="458">
        <v>294823</v>
      </c>
      <c r="D69" s="458">
        <v>825062.17</v>
      </c>
      <c r="E69" s="157">
        <v>43998</v>
      </c>
      <c r="F69" s="459">
        <v>44114</v>
      </c>
      <c r="H69" s="466">
        <f>+C69*0.9</f>
        <v>265340.7</v>
      </c>
      <c r="I69" s="70"/>
      <c r="J69" s="70">
        <f>+C69-H69</f>
        <v>29482.299999999988</v>
      </c>
    </row>
    <row r="70" spans="1:10" x14ac:dyDescent="0.2">
      <c r="A70" s="71" t="s">
        <v>982</v>
      </c>
      <c r="B70" s="85" t="s">
        <v>896</v>
      </c>
      <c r="C70" s="595">
        <v>950000</v>
      </c>
      <c r="D70" s="86">
        <f>+C70*D5</f>
        <v>399095</v>
      </c>
      <c r="E70" s="193"/>
      <c r="F70" s="596">
        <v>44372</v>
      </c>
      <c r="H70" s="70" t="s">
        <v>897</v>
      </c>
      <c r="I70" s="70"/>
      <c r="J70" s="70"/>
    </row>
    <row r="71" spans="1:10" x14ac:dyDescent="0.2">
      <c r="A71" s="71" t="s">
        <v>981</v>
      </c>
      <c r="B71" s="85" t="s">
        <v>18</v>
      </c>
      <c r="C71" s="595">
        <v>136751</v>
      </c>
      <c r="D71" s="86">
        <f>+C71*D3</f>
        <v>374068.68539999996</v>
      </c>
      <c r="E71" s="193"/>
      <c r="F71" s="596">
        <v>44433</v>
      </c>
      <c r="H71" s="70" t="s">
        <v>897</v>
      </c>
      <c r="I71" s="70"/>
      <c r="J71" s="70"/>
    </row>
    <row r="72" spans="1:10" ht="13.5" thickBot="1" x14ac:dyDescent="0.25">
      <c r="A72" s="55"/>
      <c r="B72" s="68"/>
      <c r="C72" s="283"/>
      <c r="D72" s="56"/>
      <c r="E72" s="158"/>
      <c r="F72" s="597"/>
      <c r="H72" s="70"/>
      <c r="I72" s="70"/>
      <c r="J72" s="70"/>
    </row>
    <row r="73" spans="1:10" ht="13.5" thickBot="1" x14ac:dyDescent="0.25">
      <c r="A73" s="456" t="s">
        <v>50</v>
      </c>
      <c r="B73" s="457"/>
      <c r="C73" s="89">
        <v>294823</v>
      </c>
    </row>
    <row r="74" spans="1:10" ht="13.5" thickBot="1" x14ac:dyDescent="0.25"/>
    <row r="75" spans="1:10" ht="13.5" thickBot="1" x14ac:dyDescent="0.25">
      <c r="A75" s="152"/>
      <c r="B75" s="153"/>
      <c r="C75" s="154"/>
      <c r="D75" s="154"/>
      <c r="E75" s="156"/>
      <c r="F75" s="465"/>
      <c r="I75" s="70"/>
    </row>
    <row r="76" spans="1:10" ht="13.5" thickBot="1" x14ac:dyDescent="0.25">
      <c r="A76" s="649" t="s">
        <v>50</v>
      </c>
      <c r="B76" s="650"/>
      <c r="C76" s="89">
        <f>SUM(C75:C75)</f>
        <v>0</v>
      </c>
    </row>
    <row r="77" spans="1:10" ht="13.5" thickBot="1" x14ac:dyDescent="0.25"/>
    <row r="78" spans="1:10" ht="13.5" thickBot="1" x14ac:dyDescent="0.25">
      <c r="A78" s="152" t="s">
        <v>893</v>
      </c>
      <c r="B78" s="153" t="s">
        <v>16</v>
      </c>
      <c r="C78" s="154">
        <v>5260.96</v>
      </c>
      <c r="D78" s="154">
        <f>+C78*D2</f>
        <v>17300.140864000001</v>
      </c>
      <c r="E78" s="357"/>
      <c r="F78" s="358"/>
      <c r="H78" s="1" t="s">
        <v>894</v>
      </c>
      <c r="I78" s="70"/>
    </row>
    <row r="79" spans="1:10" ht="13.5" thickBot="1" x14ac:dyDescent="0.25">
      <c r="A79" s="649" t="s">
        <v>50</v>
      </c>
      <c r="B79" s="650"/>
      <c r="C79" s="89">
        <f>SUM(C78:C78)</f>
        <v>5260.96</v>
      </c>
    </row>
    <row r="80" spans="1:10" ht="13.5" thickBot="1" x14ac:dyDescent="0.25"/>
    <row r="81" spans="1:10" ht="13.5" thickBot="1" x14ac:dyDescent="0.25">
      <c r="A81" s="152"/>
      <c r="B81" s="153"/>
      <c r="C81" s="154"/>
      <c r="D81" s="154"/>
      <c r="E81" s="156"/>
      <c r="F81" s="465"/>
      <c r="I81" s="70"/>
    </row>
    <row r="82" spans="1:10" ht="13.5" thickBot="1" x14ac:dyDescent="0.25">
      <c r="A82" s="649" t="s">
        <v>50</v>
      </c>
      <c r="B82" s="650"/>
      <c r="C82" s="89">
        <f>SUM(C81:C81)</f>
        <v>0</v>
      </c>
    </row>
    <row r="85" spans="1:10" ht="13.5" thickBot="1" x14ac:dyDescent="0.25"/>
    <row r="86" spans="1:10" x14ac:dyDescent="0.2">
      <c r="A86" s="651" t="s">
        <v>88</v>
      </c>
      <c r="B86" s="657" t="s">
        <v>16</v>
      </c>
      <c r="C86" s="660">
        <v>335000</v>
      </c>
      <c r="D86" s="105"/>
      <c r="E86" s="157">
        <v>42898</v>
      </c>
      <c r="F86" s="115">
        <v>71000</v>
      </c>
    </row>
    <row r="87" spans="1:10" x14ac:dyDescent="0.2">
      <c r="A87" s="652"/>
      <c r="B87" s="658"/>
      <c r="C87" s="661"/>
      <c r="D87" s="78"/>
      <c r="E87" s="193">
        <v>42927</v>
      </c>
      <c r="F87" s="116">
        <v>40000</v>
      </c>
    </row>
    <row r="88" spans="1:10" x14ac:dyDescent="0.2">
      <c r="A88" s="652"/>
      <c r="B88" s="658"/>
      <c r="C88" s="661"/>
      <c r="D88" s="78"/>
      <c r="E88" s="193">
        <v>43004</v>
      </c>
      <c r="F88" s="116">
        <v>15000</v>
      </c>
    </row>
    <row r="89" spans="1:10" x14ac:dyDescent="0.2">
      <c r="A89" s="652"/>
      <c r="B89" s="658"/>
      <c r="C89" s="661"/>
      <c r="D89" s="78"/>
      <c r="E89" s="193">
        <v>43006</v>
      </c>
      <c r="F89" s="116">
        <v>16000</v>
      </c>
      <c r="H89" s="70"/>
      <c r="J89" s="70"/>
    </row>
    <row r="90" spans="1:10" x14ac:dyDescent="0.2">
      <c r="A90" s="652"/>
      <c r="B90" s="658"/>
      <c r="C90" s="661"/>
      <c r="D90" s="78"/>
      <c r="E90" s="193">
        <v>43020</v>
      </c>
      <c r="F90" s="116">
        <v>25000</v>
      </c>
    </row>
    <row r="91" spans="1:10" x14ac:dyDescent="0.2">
      <c r="A91" s="653"/>
      <c r="B91" s="659"/>
      <c r="C91" s="662"/>
      <c r="D91" s="78"/>
      <c r="E91" s="193">
        <v>43208</v>
      </c>
      <c r="F91" s="116">
        <v>45000</v>
      </c>
      <c r="H91" s="70"/>
      <c r="I91" s="70"/>
    </row>
    <row r="92" spans="1:10" x14ac:dyDescent="0.2">
      <c r="A92" s="71" t="s">
        <v>88</v>
      </c>
      <c r="B92" s="85" t="s">
        <v>16</v>
      </c>
      <c r="C92" s="86">
        <f>65000+9000</f>
        <v>74000</v>
      </c>
      <c r="D92" s="78"/>
      <c r="E92" s="193">
        <v>43189</v>
      </c>
      <c r="F92" s="116">
        <v>59500</v>
      </c>
      <c r="H92" s="70"/>
      <c r="I92" s="70"/>
    </row>
    <row r="93" spans="1:10" x14ac:dyDescent="0.2">
      <c r="A93" s="71"/>
      <c r="B93" s="85"/>
      <c r="C93" s="86"/>
      <c r="D93" s="78"/>
      <c r="E93" s="193"/>
      <c r="F93" s="116"/>
    </row>
    <row r="94" spans="1:10" ht="13.5" thickBot="1" x14ac:dyDescent="0.25">
      <c r="A94" s="55" t="s">
        <v>88</v>
      </c>
      <c r="B94" s="68" t="s">
        <v>16</v>
      </c>
      <c r="C94" s="56">
        <f>14477.06+837.73</f>
        <v>15314.789999999999</v>
      </c>
      <c r="D94" s="80"/>
      <c r="E94" s="158"/>
      <c r="F94" s="75"/>
    </row>
    <row r="95" spans="1:10" ht="13.5" thickBot="1" x14ac:dyDescent="0.25">
      <c r="A95" s="649" t="s">
        <v>50</v>
      </c>
      <c r="B95" s="650"/>
      <c r="C95" s="89">
        <f>SUM(C86:C94)</f>
        <v>424314.79</v>
      </c>
      <c r="F95" s="70"/>
    </row>
    <row r="96" spans="1:10" ht="13.5" thickBot="1" x14ac:dyDescent="0.25">
      <c r="F96" s="70"/>
    </row>
    <row r="97" spans="1:6" ht="13.5" thickBot="1" x14ac:dyDescent="0.25">
      <c r="A97" s="152" t="s">
        <v>329</v>
      </c>
      <c r="B97" s="153" t="s">
        <v>16</v>
      </c>
      <c r="C97" s="154">
        <v>67500</v>
      </c>
      <c r="D97" s="155"/>
      <c r="E97" s="156">
        <v>43074</v>
      </c>
      <c r="F97" s="194">
        <v>12000</v>
      </c>
    </row>
    <row r="98" spans="1:6" ht="13.5" thickBot="1" x14ac:dyDescent="0.25">
      <c r="A98" s="649" t="s">
        <v>50</v>
      </c>
      <c r="B98" s="650"/>
      <c r="C98" s="89">
        <f>SUM(C97:C97)</f>
        <v>67500</v>
      </c>
    </row>
  </sheetData>
  <sortState xmlns:xlrd2="http://schemas.microsoft.com/office/spreadsheetml/2017/richdata2" ref="A49:F50">
    <sortCondition ref="F49:F50"/>
  </sortState>
  <mergeCells count="24">
    <mergeCell ref="A98:B98"/>
    <mergeCell ref="B86:B91"/>
    <mergeCell ref="A55:B55"/>
    <mergeCell ref="C86:C91"/>
    <mergeCell ref="A64:B64"/>
    <mergeCell ref="A67:B67"/>
    <mergeCell ref="A76:B76"/>
    <mergeCell ref="A79:B79"/>
    <mergeCell ref="A82:B82"/>
    <mergeCell ref="A43:B43"/>
    <mergeCell ref="A95:B95"/>
    <mergeCell ref="A52:B52"/>
    <mergeCell ref="A86:A91"/>
    <mergeCell ref="A6:F6"/>
    <mergeCell ref="A20:F20"/>
    <mergeCell ref="A32:B32"/>
    <mergeCell ref="A9:B9"/>
    <mergeCell ref="A48:B48"/>
    <mergeCell ref="A39:B39"/>
    <mergeCell ref="A12:B12"/>
    <mergeCell ref="A15:B15"/>
    <mergeCell ref="A35:B35"/>
    <mergeCell ref="A18:B18"/>
    <mergeCell ref="A61:B61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B1:J43"/>
  <sheetViews>
    <sheetView zoomScaleNormal="100" workbookViewId="0">
      <selection activeCell="M24" sqref="M24"/>
    </sheetView>
  </sheetViews>
  <sheetFormatPr baseColWidth="10" defaultColWidth="11.42578125" defaultRowHeight="12.75" x14ac:dyDescent="0.2"/>
  <cols>
    <col min="1" max="1" width="11.42578125" style="167"/>
    <col min="2" max="3" width="11.140625" style="167" customWidth="1"/>
    <col min="4" max="6" width="11.140625" style="180" customWidth="1"/>
    <col min="7" max="9" width="11.140625" style="166" customWidth="1"/>
    <col min="10" max="10" width="1" style="167" customWidth="1"/>
    <col min="11" max="16384" width="11.42578125" style="167"/>
  </cols>
  <sheetData>
    <row r="1" spans="2:10" x14ac:dyDescent="0.2">
      <c r="G1" s="167"/>
      <c r="H1" s="167"/>
      <c r="I1" s="167"/>
    </row>
    <row r="2" spans="2:10" x14ac:dyDescent="0.2">
      <c r="B2" s="663" t="s">
        <v>72</v>
      </c>
      <c r="C2" s="663"/>
      <c r="D2" s="663"/>
      <c r="E2" s="663"/>
      <c r="F2" s="663"/>
      <c r="G2" s="663"/>
      <c r="H2" s="663"/>
      <c r="I2" s="663"/>
    </row>
    <row r="3" spans="2:10" x14ac:dyDescent="0.2">
      <c r="B3" s="663" t="s">
        <v>805</v>
      </c>
      <c r="C3" s="663"/>
      <c r="D3" s="663"/>
      <c r="E3" s="663"/>
      <c r="F3" s="663"/>
      <c r="G3" s="663"/>
      <c r="H3" s="663"/>
      <c r="I3" s="663"/>
    </row>
    <row r="4" spans="2:10" ht="13.5" thickBot="1" x14ac:dyDescent="0.25"/>
    <row r="5" spans="2:10" ht="13.5" thickBot="1" x14ac:dyDescent="0.25">
      <c r="B5" s="671" t="s">
        <v>71</v>
      </c>
      <c r="C5" s="672"/>
      <c r="D5" s="168" t="s">
        <v>10</v>
      </c>
      <c r="E5" s="169" t="s">
        <v>70</v>
      </c>
      <c r="F5" s="169" t="s">
        <v>69</v>
      </c>
      <c r="G5" s="169" t="s">
        <v>68</v>
      </c>
      <c r="H5" s="170" t="s">
        <v>67</v>
      </c>
      <c r="I5" s="171" t="s">
        <v>66</v>
      </c>
    </row>
    <row r="6" spans="2:10" x14ac:dyDescent="0.2">
      <c r="B6" s="578" t="s">
        <v>814</v>
      </c>
      <c r="C6" s="579">
        <v>2500000</v>
      </c>
      <c r="D6" s="580">
        <v>44227</v>
      </c>
      <c r="E6" s="581"/>
      <c r="F6" s="581">
        <v>40106.25</v>
      </c>
      <c r="G6" s="582">
        <f t="shared" ref="G6:G14" si="0">SUM(E6:F6)</f>
        <v>40106.25</v>
      </c>
      <c r="H6" s="583"/>
      <c r="I6" s="584"/>
    </row>
    <row r="7" spans="2:10" ht="13.5" thickBot="1" x14ac:dyDescent="0.25">
      <c r="B7" s="585" t="s">
        <v>814</v>
      </c>
      <c r="C7" s="586">
        <v>1250000</v>
      </c>
      <c r="D7" s="587">
        <v>44227</v>
      </c>
      <c r="E7" s="588">
        <v>104166.667</v>
      </c>
      <c r="F7" s="588">
        <v>22281.25</v>
      </c>
      <c r="G7" s="589">
        <f>SUM(E7:F7)</f>
        <v>126447.917</v>
      </c>
      <c r="H7" s="585"/>
      <c r="I7" s="590"/>
    </row>
    <row r="8" spans="2:10" ht="14.25" thickBot="1" x14ac:dyDescent="0.3">
      <c r="B8" s="667" t="s">
        <v>806</v>
      </c>
      <c r="C8" s="668"/>
      <c r="D8" s="670"/>
      <c r="E8" s="172">
        <f>SUM(E6:E7)</f>
        <v>104166.667</v>
      </c>
      <c r="F8" s="190">
        <f>SUM(F6:F7)</f>
        <v>62387.5</v>
      </c>
      <c r="G8" s="327">
        <f>SUM(G6:G7)</f>
        <v>166554.16700000002</v>
      </c>
      <c r="H8" s="192"/>
      <c r="I8" s="174"/>
    </row>
    <row r="9" spans="2:10" ht="14.25" customHeight="1" x14ac:dyDescent="0.2">
      <c r="B9" s="578" t="s">
        <v>814</v>
      </c>
      <c r="C9" s="579">
        <v>500000</v>
      </c>
      <c r="D9" s="580">
        <v>44286</v>
      </c>
      <c r="E9" s="602">
        <v>41666.667000000001</v>
      </c>
      <c r="F9" s="602">
        <v>4359.375</v>
      </c>
      <c r="G9" s="582">
        <f t="shared" si="0"/>
        <v>46026.042000000001</v>
      </c>
      <c r="H9" s="603"/>
      <c r="I9" s="604"/>
      <c r="J9" s="185"/>
    </row>
    <row r="10" spans="2:10" x14ac:dyDescent="0.2">
      <c r="B10" s="605" t="s">
        <v>814</v>
      </c>
      <c r="C10" s="606">
        <v>1150000</v>
      </c>
      <c r="D10" s="607">
        <v>44286</v>
      </c>
      <c r="E10" s="608">
        <v>95833.333333333328</v>
      </c>
      <c r="F10" s="608">
        <v>10026.563</v>
      </c>
      <c r="G10" s="609">
        <f t="shared" si="0"/>
        <v>105859.89633333332</v>
      </c>
      <c r="H10" s="610"/>
      <c r="I10" s="611"/>
      <c r="J10" s="185"/>
    </row>
    <row r="11" spans="2:10" x14ac:dyDescent="0.2">
      <c r="B11" s="605" t="s">
        <v>814</v>
      </c>
      <c r="C11" s="606">
        <v>1000000</v>
      </c>
      <c r="D11" s="607">
        <v>44286</v>
      </c>
      <c r="E11" s="608">
        <v>83333.333333333328</v>
      </c>
      <c r="F11" s="608">
        <v>8718.75</v>
      </c>
      <c r="G11" s="609">
        <f t="shared" si="0"/>
        <v>92052.083333333328</v>
      </c>
      <c r="H11" s="610"/>
      <c r="I11" s="611"/>
      <c r="J11" s="185"/>
    </row>
    <row r="12" spans="2:10" x14ac:dyDescent="0.2">
      <c r="B12" s="605" t="s">
        <v>814</v>
      </c>
      <c r="C12" s="606">
        <v>350000</v>
      </c>
      <c r="D12" s="607">
        <v>44286</v>
      </c>
      <c r="E12" s="608">
        <v>29166.667000000001</v>
      </c>
      <c r="F12" s="608">
        <v>3051.5630000000001</v>
      </c>
      <c r="G12" s="609">
        <f t="shared" si="0"/>
        <v>32218.230000000003</v>
      </c>
      <c r="H12" s="612"/>
      <c r="I12" s="613"/>
      <c r="J12" s="185"/>
    </row>
    <row r="13" spans="2:10" ht="13.5" thickBot="1" x14ac:dyDescent="0.25">
      <c r="B13" s="585" t="s">
        <v>814</v>
      </c>
      <c r="C13" s="586">
        <v>500000</v>
      </c>
      <c r="D13" s="587">
        <v>44286</v>
      </c>
      <c r="E13" s="614">
        <v>41666.667000000001</v>
      </c>
      <c r="F13" s="614">
        <v>4359.375</v>
      </c>
      <c r="G13" s="589">
        <f t="shared" si="0"/>
        <v>46026.042000000001</v>
      </c>
      <c r="H13" s="612"/>
      <c r="I13" s="613"/>
      <c r="J13" s="185"/>
    </row>
    <row r="14" spans="2:10" ht="14.25" thickBot="1" x14ac:dyDescent="0.3">
      <c r="B14" s="667" t="s">
        <v>807</v>
      </c>
      <c r="C14" s="668"/>
      <c r="D14" s="669"/>
      <c r="E14" s="172">
        <f>SUM(E9:E13)</f>
        <v>291666.66766666668</v>
      </c>
      <c r="F14" s="190">
        <f>SUM(F9:F13)</f>
        <v>30515.626000000004</v>
      </c>
      <c r="G14" s="191">
        <f t="shared" si="0"/>
        <v>322182.29366666666</v>
      </c>
      <c r="H14" s="173"/>
      <c r="I14" s="174"/>
      <c r="J14" s="185"/>
    </row>
    <row r="15" spans="2:10" x14ac:dyDescent="0.2">
      <c r="B15" s="578" t="s">
        <v>814</v>
      </c>
      <c r="C15" s="579">
        <v>2500000</v>
      </c>
      <c r="D15" s="580">
        <v>44316</v>
      </c>
      <c r="E15" s="581">
        <v>208333.33333333334</v>
      </c>
      <c r="F15" s="581">
        <v>39308.332999999999</v>
      </c>
      <c r="G15" s="582">
        <f t="shared" ref="G15:G22" si="1">SUM(E15:F15)</f>
        <v>247641.66633333336</v>
      </c>
      <c r="H15" s="578"/>
      <c r="I15" s="604"/>
    </row>
    <row r="16" spans="2:10" ht="13.5" thickBot="1" x14ac:dyDescent="0.25">
      <c r="B16" s="585" t="s">
        <v>814</v>
      </c>
      <c r="C16" s="586">
        <v>1250000</v>
      </c>
      <c r="D16" s="587">
        <v>44316</v>
      </c>
      <c r="E16" s="588"/>
      <c r="F16" s="588">
        <v>19654.667000000001</v>
      </c>
      <c r="G16" s="589">
        <f t="shared" si="1"/>
        <v>19654.667000000001</v>
      </c>
      <c r="H16" s="585"/>
      <c r="I16" s="590"/>
    </row>
    <row r="17" spans="2:10" ht="14.25" thickBot="1" x14ac:dyDescent="0.3">
      <c r="B17" s="667" t="s">
        <v>808</v>
      </c>
      <c r="C17" s="668"/>
      <c r="D17" s="670"/>
      <c r="E17" s="172">
        <f>SUM(E15:E15)</f>
        <v>208333.33333333334</v>
      </c>
      <c r="F17" s="190">
        <f>SUM(F15:F16)</f>
        <v>58963</v>
      </c>
      <c r="G17" s="191">
        <f t="shared" si="1"/>
        <v>267296.33333333337</v>
      </c>
      <c r="H17" s="192"/>
      <c r="I17" s="174"/>
    </row>
    <row r="18" spans="2:10" x14ac:dyDescent="0.2">
      <c r="B18" s="104" t="s">
        <v>814</v>
      </c>
      <c r="C18" s="547">
        <v>500000</v>
      </c>
      <c r="D18" s="157">
        <v>44377</v>
      </c>
      <c r="E18" s="183"/>
      <c r="F18" s="183">
        <v>3526.25</v>
      </c>
      <c r="G18" s="556">
        <f t="shared" si="1"/>
        <v>3526.25</v>
      </c>
      <c r="H18" s="539"/>
      <c r="I18" s="540"/>
      <c r="J18" s="185"/>
    </row>
    <row r="19" spans="2:10" x14ac:dyDescent="0.2">
      <c r="B19" s="71" t="s">
        <v>814</v>
      </c>
      <c r="C19" s="548">
        <v>1150000</v>
      </c>
      <c r="D19" s="193">
        <v>44377</v>
      </c>
      <c r="E19" s="188"/>
      <c r="F19" s="188">
        <v>8110.375</v>
      </c>
      <c r="G19" s="557">
        <f t="shared" si="1"/>
        <v>8110.375</v>
      </c>
      <c r="H19" s="541"/>
      <c r="I19" s="542"/>
    </row>
    <row r="20" spans="2:10" x14ac:dyDescent="0.2">
      <c r="B20" s="71" t="s">
        <v>814</v>
      </c>
      <c r="C20" s="548">
        <v>1000000</v>
      </c>
      <c r="D20" s="193">
        <v>44377</v>
      </c>
      <c r="E20" s="188"/>
      <c r="F20" s="188">
        <v>7052.5</v>
      </c>
      <c r="G20" s="557">
        <f t="shared" si="1"/>
        <v>7052.5</v>
      </c>
      <c r="H20" s="541"/>
      <c r="I20" s="542"/>
    </row>
    <row r="21" spans="2:10" x14ac:dyDescent="0.2">
      <c r="B21" s="71" t="s">
        <v>814</v>
      </c>
      <c r="C21" s="548">
        <v>350000</v>
      </c>
      <c r="D21" s="193">
        <v>44377</v>
      </c>
      <c r="E21" s="188"/>
      <c r="F21" s="188">
        <v>2468.375</v>
      </c>
      <c r="G21" s="557">
        <f t="shared" si="1"/>
        <v>2468.375</v>
      </c>
      <c r="H21" s="543"/>
      <c r="I21" s="113"/>
    </row>
    <row r="22" spans="2:10" ht="13.5" thickBot="1" x14ac:dyDescent="0.25">
      <c r="B22" s="55" t="s">
        <v>814</v>
      </c>
      <c r="C22" s="549">
        <v>500000</v>
      </c>
      <c r="D22" s="158">
        <v>44377</v>
      </c>
      <c r="E22" s="326"/>
      <c r="F22" s="326">
        <v>3526.25</v>
      </c>
      <c r="G22" s="558">
        <f t="shared" si="1"/>
        <v>3526.25</v>
      </c>
      <c r="H22" s="543"/>
      <c r="I22" s="113"/>
    </row>
    <row r="23" spans="2:10" ht="14.25" thickBot="1" x14ac:dyDescent="0.3">
      <c r="B23" s="667" t="s">
        <v>809</v>
      </c>
      <c r="C23" s="668"/>
      <c r="D23" s="669"/>
      <c r="E23" s="172">
        <f>SUM(E18:E22)</f>
        <v>0</v>
      </c>
      <c r="F23" s="190">
        <f>SUM(F18:F22)</f>
        <v>24683.75</v>
      </c>
      <c r="G23" s="191">
        <f t="shared" ref="G23:G29" si="2">SUM(E23:F23)</f>
        <v>24683.75</v>
      </c>
      <c r="H23" s="173"/>
      <c r="I23" s="174"/>
    </row>
    <row r="24" spans="2:10" x14ac:dyDescent="0.2">
      <c r="B24" s="162" t="s">
        <v>814</v>
      </c>
      <c r="C24" s="544">
        <v>2500000</v>
      </c>
      <c r="D24" s="550">
        <v>44408</v>
      </c>
      <c r="E24" s="328"/>
      <c r="F24" s="328">
        <v>35650</v>
      </c>
      <c r="G24" s="553">
        <f t="shared" si="2"/>
        <v>35650</v>
      </c>
      <c r="H24" s="162"/>
      <c r="I24" s="164"/>
    </row>
    <row r="25" spans="2:10" ht="13.5" thickBot="1" x14ac:dyDescent="0.25">
      <c r="B25" s="533" t="s">
        <v>814</v>
      </c>
      <c r="C25" s="545">
        <v>1250000</v>
      </c>
      <c r="D25" s="551">
        <v>44408</v>
      </c>
      <c r="E25" s="330">
        <v>104166.667</v>
      </c>
      <c r="F25" s="330">
        <v>20053.125</v>
      </c>
      <c r="G25" s="554">
        <f>SUM(E25:F25)</f>
        <v>124219.792</v>
      </c>
      <c r="H25" s="533"/>
      <c r="I25" s="534"/>
    </row>
    <row r="26" spans="2:10" ht="14.25" thickBot="1" x14ac:dyDescent="0.3">
      <c r="B26" s="667" t="s">
        <v>810</v>
      </c>
      <c r="C26" s="668"/>
      <c r="D26" s="670"/>
      <c r="E26" s="190">
        <f>SUM(E24:E25)</f>
        <v>104166.667</v>
      </c>
      <c r="F26" s="190">
        <f>SUM(F24:F25)</f>
        <v>55703.125</v>
      </c>
      <c r="G26" s="190">
        <f>SUM(G24:G25)</f>
        <v>159869.79200000002</v>
      </c>
      <c r="H26" s="192"/>
      <c r="I26" s="174"/>
    </row>
    <row r="27" spans="2:10" x14ac:dyDescent="0.2">
      <c r="B27" s="162" t="s">
        <v>814</v>
      </c>
      <c r="C27" s="544">
        <v>500000</v>
      </c>
      <c r="D27" s="550">
        <v>44469</v>
      </c>
      <c r="E27" s="183">
        <v>41666.667000000001</v>
      </c>
      <c r="F27" s="183">
        <v>3565</v>
      </c>
      <c r="G27" s="553">
        <f t="shared" si="2"/>
        <v>45231.667000000001</v>
      </c>
      <c r="H27" s="535"/>
      <c r="I27" s="164"/>
    </row>
    <row r="28" spans="2:10" x14ac:dyDescent="0.2">
      <c r="B28" s="163" t="s">
        <v>814</v>
      </c>
      <c r="C28" s="546">
        <v>1150000</v>
      </c>
      <c r="D28" s="552">
        <v>44469</v>
      </c>
      <c r="E28" s="188">
        <v>95833.333333333328</v>
      </c>
      <c r="F28" s="188">
        <v>8199.5</v>
      </c>
      <c r="G28" s="555">
        <f t="shared" si="2"/>
        <v>104032.83333333333</v>
      </c>
      <c r="H28" s="536"/>
      <c r="I28" s="165"/>
    </row>
    <row r="29" spans="2:10" x14ac:dyDescent="0.2">
      <c r="B29" s="163" t="s">
        <v>814</v>
      </c>
      <c r="C29" s="546">
        <v>1000000</v>
      </c>
      <c r="D29" s="552">
        <v>44469</v>
      </c>
      <c r="E29" s="188">
        <v>83333.333333333328</v>
      </c>
      <c r="F29" s="188">
        <v>7130</v>
      </c>
      <c r="G29" s="555">
        <f t="shared" si="2"/>
        <v>90463.333333333328</v>
      </c>
      <c r="H29" s="536"/>
      <c r="I29" s="165"/>
    </row>
    <row r="30" spans="2:10" x14ac:dyDescent="0.2">
      <c r="B30" s="163" t="s">
        <v>814</v>
      </c>
      <c r="C30" s="546">
        <v>350000</v>
      </c>
      <c r="D30" s="552">
        <v>44469</v>
      </c>
      <c r="E30" s="188">
        <v>29166.667000000001</v>
      </c>
      <c r="F30" s="188">
        <v>2495.5</v>
      </c>
      <c r="G30" s="555">
        <f t="shared" ref="G30:G37" si="3">SUM(E30:F30)</f>
        <v>31662.167000000001</v>
      </c>
      <c r="H30" s="537"/>
      <c r="I30" s="538"/>
    </row>
    <row r="31" spans="2:10" ht="13.5" thickBot="1" x14ac:dyDescent="0.25">
      <c r="B31" s="533" t="s">
        <v>814</v>
      </c>
      <c r="C31" s="545">
        <v>500000</v>
      </c>
      <c r="D31" s="551">
        <v>44469</v>
      </c>
      <c r="E31" s="326">
        <v>41666.667000000001</v>
      </c>
      <c r="F31" s="326">
        <v>3565</v>
      </c>
      <c r="G31" s="554">
        <f t="shared" si="3"/>
        <v>45231.667000000001</v>
      </c>
      <c r="H31" s="537"/>
      <c r="I31" s="538"/>
    </row>
    <row r="32" spans="2:10" ht="14.25" thickBot="1" x14ac:dyDescent="0.3">
      <c r="B32" s="667" t="s">
        <v>811</v>
      </c>
      <c r="C32" s="668"/>
      <c r="D32" s="669"/>
      <c r="E32" s="172">
        <f>SUM(E27:E31)</f>
        <v>291666.66766666668</v>
      </c>
      <c r="F32" s="190">
        <f>SUM(F27:F31)</f>
        <v>24955</v>
      </c>
      <c r="G32" s="191">
        <f t="shared" si="3"/>
        <v>316621.66766666668</v>
      </c>
      <c r="H32" s="192"/>
      <c r="I32" s="174"/>
    </row>
    <row r="33" spans="2:9" x14ac:dyDescent="0.2">
      <c r="B33" s="162" t="s">
        <v>814</v>
      </c>
      <c r="C33" s="544">
        <v>2500000</v>
      </c>
      <c r="D33" s="550">
        <v>44500</v>
      </c>
      <c r="E33" s="328">
        <v>208333.33333333334</v>
      </c>
      <c r="F33" s="328">
        <v>35650</v>
      </c>
      <c r="G33" s="553">
        <f>SUM(E33:F33)</f>
        <v>243983.33333333334</v>
      </c>
      <c r="H33" s="162"/>
      <c r="I33" s="164"/>
    </row>
    <row r="34" spans="2:9" ht="13.5" thickBot="1" x14ac:dyDescent="0.25">
      <c r="B34" s="533" t="s">
        <v>814</v>
      </c>
      <c r="C34" s="545">
        <v>1250000</v>
      </c>
      <c r="D34" s="551">
        <v>44500</v>
      </c>
      <c r="E34" s="330"/>
      <c r="F34" s="330">
        <v>17825</v>
      </c>
      <c r="G34" s="554">
        <f>SUM(E34:F34)</f>
        <v>17825</v>
      </c>
      <c r="H34" s="533"/>
      <c r="I34" s="534"/>
    </row>
    <row r="35" spans="2:9" ht="14.25" thickBot="1" x14ac:dyDescent="0.3">
      <c r="B35" s="667" t="s">
        <v>812</v>
      </c>
      <c r="C35" s="668"/>
      <c r="D35" s="670"/>
      <c r="E35" s="172">
        <f>SUM(E33:E33)</f>
        <v>208333.33333333334</v>
      </c>
      <c r="F35" s="190">
        <f>SUM(F33:F34)</f>
        <v>53475</v>
      </c>
      <c r="G35" s="191">
        <f>SUM(E35:F35)</f>
        <v>261808.33333333334</v>
      </c>
      <c r="H35" s="192"/>
      <c r="I35" s="174"/>
    </row>
    <row r="36" spans="2:9" x14ac:dyDescent="0.2">
      <c r="B36" s="162" t="s">
        <v>814</v>
      </c>
      <c r="C36" s="544">
        <v>500000</v>
      </c>
      <c r="D36" s="157">
        <v>44561</v>
      </c>
      <c r="E36" s="183"/>
      <c r="F36" s="183">
        <v>2673.75</v>
      </c>
      <c r="G36" s="553">
        <f t="shared" si="3"/>
        <v>2673.75</v>
      </c>
      <c r="H36" s="162"/>
      <c r="I36" s="164"/>
    </row>
    <row r="37" spans="2:9" x14ac:dyDescent="0.2">
      <c r="B37" s="163" t="s">
        <v>814</v>
      </c>
      <c r="C37" s="546">
        <v>1150000</v>
      </c>
      <c r="D37" s="193">
        <v>44561</v>
      </c>
      <c r="E37" s="188"/>
      <c r="F37" s="188">
        <v>6149.625</v>
      </c>
      <c r="G37" s="555">
        <f t="shared" si="3"/>
        <v>6149.625</v>
      </c>
      <c r="H37" s="163"/>
      <c r="I37" s="165"/>
    </row>
    <row r="38" spans="2:9" x14ac:dyDescent="0.2">
      <c r="B38" s="163" t="s">
        <v>814</v>
      </c>
      <c r="C38" s="546">
        <v>1000000</v>
      </c>
      <c r="D38" s="193">
        <v>44561</v>
      </c>
      <c r="E38" s="188"/>
      <c r="F38" s="188">
        <v>5347.5</v>
      </c>
      <c r="G38" s="555">
        <f>SUM(E38:F38)</f>
        <v>5347.5</v>
      </c>
      <c r="H38" s="163"/>
      <c r="I38" s="165"/>
    </row>
    <row r="39" spans="2:9" x14ac:dyDescent="0.2">
      <c r="B39" s="163" t="s">
        <v>814</v>
      </c>
      <c r="C39" s="546">
        <v>350000</v>
      </c>
      <c r="D39" s="193">
        <v>44561</v>
      </c>
      <c r="E39" s="188"/>
      <c r="F39" s="188">
        <v>1871.625</v>
      </c>
      <c r="G39" s="555">
        <f>SUM(E39:F39)</f>
        <v>1871.625</v>
      </c>
      <c r="H39" s="163"/>
      <c r="I39" s="165"/>
    </row>
    <row r="40" spans="2:9" ht="13.5" thickBot="1" x14ac:dyDescent="0.25">
      <c r="B40" s="533" t="s">
        <v>814</v>
      </c>
      <c r="C40" s="545">
        <v>500000</v>
      </c>
      <c r="D40" s="158">
        <v>44561</v>
      </c>
      <c r="E40" s="326"/>
      <c r="F40" s="326">
        <v>2673.75</v>
      </c>
      <c r="G40" s="554">
        <f>SUM(E40:F40)</f>
        <v>2673.75</v>
      </c>
      <c r="H40" s="163"/>
      <c r="I40" s="165"/>
    </row>
    <row r="41" spans="2:9" ht="14.25" thickBot="1" x14ac:dyDescent="0.3">
      <c r="B41" s="667" t="s">
        <v>813</v>
      </c>
      <c r="C41" s="668"/>
      <c r="D41" s="670"/>
      <c r="E41" s="172">
        <f>SUM(E36:E40)</f>
        <v>0</v>
      </c>
      <c r="F41" s="190">
        <f>SUM(F36:F40)</f>
        <v>18716.25</v>
      </c>
      <c r="G41" s="191">
        <f>SUM(E41:F41)</f>
        <v>18716.25</v>
      </c>
      <c r="H41" s="173"/>
      <c r="I41" s="174"/>
    </row>
    <row r="42" spans="2:9" ht="13.5" thickBot="1" x14ac:dyDescent="0.25">
      <c r="B42" s="175"/>
      <c r="C42" s="176"/>
      <c r="D42" s="167"/>
      <c r="E42" s="167"/>
      <c r="F42" s="167"/>
      <c r="G42" s="175"/>
      <c r="H42" s="175"/>
      <c r="I42" s="175"/>
    </row>
    <row r="43" spans="2:9" ht="14.25" thickBot="1" x14ac:dyDescent="0.3">
      <c r="B43" s="664" t="s">
        <v>815</v>
      </c>
      <c r="C43" s="665"/>
      <c r="D43" s="666"/>
      <c r="E43" s="177">
        <f>E41+E35+E32+E26+E23+E17+E14+E8</f>
        <v>1208333.3360000001</v>
      </c>
      <c r="F43" s="177">
        <f>F41+F35+F32+F26+F23+F17+F14+F8</f>
        <v>329399.25099999999</v>
      </c>
      <c r="G43" s="177">
        <f>G41+G35+G32+G26+G23+G17+G14+G8</f>
        <v>1537732.5870000003</v>
      </c>
      <c r="H43" s="178"/>
      <c r="I43" s="179"/>
    </row>
  </sheetData>
  <mergeCells count="12">
    <mergeCell ref="B2:I2"/>
    <mergeCell ref="B43:D43"/>
    <mergeCell ref="B32:D32"/>
    <mergeCell ref="B23:D23"/>
    <mergeCell ref="B26:D26"/>
    <mergeCell ref="B5:C5"/>
    <mergeCell ref="B8:D8"/>
    <mergeCell ref="B14:D14"/>
    <mergeCell ref="B35:D35"/>
    <mergeCell ref="B41:D41"/>
    <mergeCell ref="B17:D17"/>
    <mergeCell ref="B3:I3"/>
  </mergeCells>
  <pageMargins left="0.70866141732283472" right="0.70866141732283472" top="0.31496062992125984" bottom="0.74803149606299213" header="0.31496062992125984" footer="0.31496062992125984"/>
  <pageSetup paperSize="9" orientation="portrait" horizontalDpi="180" verticalDpi="180" r:id="rId1"/>
  <ignoredErrors>
    <ignoredError sqref="G1 G6:G7 G4:G5 G9:G13" formulaRange="1"/>
    <ignoredError sqref="G25 G15:G17 G23 G35 G32 G41:G42 G8 G36:G40 G27:G31 G33:G34 G18:G22 G14 G24" formula="1" formulaRange="1"/>
    <ignoredError sqref="G26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R97"/>
  <sheetViews>
    <sheetView topLeftCell="A8" zoomScaleNormal="100" workbookViewId="0">
      <selection activeCell="J60" sqref="J60"/>
    </sheetView>
  </sheetViews>
  <sheetFormatPr baseColWidth="10" defaultRowHeight="12.75" x14ac:dyDescent="0.2"/>
  <cols>
    <col min="1" max="1" width="22.85546875" style="1" bestFit="1" customWidth="1"/>
    <col min="2" max="2" width="11.28515625" style="1" bestFit="1" customWidth="1"/>
    <col min="3" max="3" width="10.140625" style="1" bestFit="1" customWidth="1"/>
    <col min="4" max="4" width="4.7109375" style="1" bestFit="1" customWidth="1"/>
    <col min="5" max="5" width="10.140625" style="70" bestFit="1" customWidth="1"/>
    <col min="6" max="6" width="10.85546875" style="76" bestFit="1" customWidth="1"/>
    <col min="7" max="7" width="10.140625" style="1" bestFit="1" customWidth="1"/>
    <col min="8" max="8" width="10.85546875" style="76" bestFit="1" customWidth="1"/>
    <col min="9" max="9" width="9.85546875" style="1" bestFit="1" customWidth="1"/>
    <col min="10" max="10" width="10.42578125" style="1" bestFit="1" customWidth="1"/>
    <col min="11" max="11" width="9.85546875" style="70" bestFit="1" customWidth="1"/>
    <col min="12" max="12" width="9" style="1" bestFit="1" customWidth="1"/>
    <col min="13" max="13" width="11.7109375" style="1" bestFit="1" customWidth="1"/>
    <col min="14" max="14" width="10.140625" style="70" bestFit="1" customWidth="1"/>
    <col min="15" max="15" width="10.7109375" style="70" bestFit="1" customWidth="1"/>
    <col min="16" max="16" width="13.28515625" style="70" bestFit="1" customWidth="1"/>
    <col min="17" max="254" width="11.42578125" style="1"/>
    <col min="255" max="255" width="8.85546875" style="1" bestFit="1" customWidth="1"/>
    <col min="256" max="256" width="10.140625" style="1" bestFit="1" customWidth="1"/>
    <col min="257" max="257" width="12.140625" style="1" bestFit="1" customWidth="1"/>
    <col min="258" max="258" width="4.5703125" style="1" bestFit="1" customWidth="1"/>
    <col min="259" max="259" width="11.28515625" style="1" bestFit="1" customWidth="1"/>
    <col min="260" max="260" width="13.28515625" style="1" bestFit="1" customWidth="1"/>
    <col min="261" max="261" width="12.140625" style="1" bestFit="1" customWidth="1"/>
    <col min="262" max="262" width="14.5703125" style="1" customWidth="1"/>
    <col min="263" max="264" width="12.140625" style="1" bestFit="1" customWidth="1"/>
    <col min="265" max="265" width="11.85546875" style="1" bestFit="1" customWidth="1"/>
    <col min="266" max="266" width="12.140625" style="1" bestFit="1" customWidth="1"/>
    <col min="267" max="267" width="12" style="1" bestFit="1" customWidth="1"/>
    <col min="268" max="268" width="18.7109375" style="1" bestFit="1" customWidth="1"/>
    <col min="269" max="510" width="11.42578125" style="1"/>
    <col min="511" max="511" width="8.85546875" style="1" bestFit="1" customWidth="1"/>
    <col min="512" max="512" width="10.140625" style="1" bestFit="1" customWidth="1"/>
    <col min="513" max="513" width="12.140625" style="1" bestFit="1" customWidth="1"/>
    <col min="514" max="514" width="4.5703125" style="1" bestFit="1" customWidth="1"/>
    <col min="515" max="515" width="11.28515625" style="1" bestFit="1" customWidth="1"/>
    <col min="516" max="516" width="13.28515625" style="1" bestFit="1" customWidth="1"/>
    <col min="517" max="517" width="12.140625" style="1" bestFit="1" customWidth="1"/>
    <col min="518" max="518" width="14.5703125" style="1" customWidth="1"/>
    <col min="519" max="520" width="12.140625" style="1" bestFit="1" customWidth="1"/>
    <col min="521" max="521" width="11.85546875" style="1" bestFit="1" customWidth="1"/>
    <col min="522" max="522" width="12.140625" style="1" bestFit="1" customWidth="1"/>
    <col min="523" max="523" width="12" style="1" bestFit="1" customWidth="1"/>
    <col min="524" max="524" width="18.7109375" style="1" bestFit="1" customWidth="1"/>
    <col min="525" max="766" width="11.42578125" style="1"/>
    <col min="767" max="767" width="8.85546875" style="1" bestFit="1" customWidth="1"/>
    <col min="768" max="768" width="10.140625" style="1" bestFit="1" customWidth="1"/>
    <col min="769" max="769" width="12.140625" style="1" bestFit="1" customWidth="1"/>
    <col min="770" max="770" width="4.5703125" style="1" bestFit="1" customWidth="1"/>
    <col min="771" max="771" width="11.28515625" style="1" bestFit="1" customWidth="1"/>
    <col min="772" max="772" width="13.28515625" style="1" bestFit="1" customWidth="1"/>
    <col min="773" max="773" width="12.140625" style="1" bestFit="1" customWidth="1"/>
    <col min="774" max="774" width="14.5703125" style="1" customWidth="1"/>
    <col min="775" max="776" width="12.140625" style="1" bestFit="1" customWidth="1"/>
    <col min="777" max="777" width="11.85546875" style="1" bestFit="1" customWidth="1"/>
    <col min="778" max="778" width="12.140625" style="1" bestFit="1" customWidth="1"/>
    <col min="779" max="779" width="12" style="1" bestFit="1" customWidth="1"/>
    <col min="780" max="780" width="18.7109375" style="1" bestFit="1" customWidth="1"/>
    <col min="781" max="1022" width="11.42578125" style="1"/>
    <col min="1023" max="1023" width="8.85546875" style="1" bestFit="1" customWidth="1"/>
    <col min="1024" max="1024" width="10.140625" style="1" bestFit="1" customWidth="1"/>
    <col min="1025" max="1025" width="12.140625" style="1" bestFit="1" customWidth="1"/>
    <col min="1026" max="1026" width="4.5703125" style="1" bestFit="1" customWidth="1"/>
    <col min="1027" max="1027" width="11.28515625" style="1" bestFit="1" customWidth="1"/>
    <col min="1028" max="1028" width="13.28515625" style="1" bestFit="1" customWidth="1"/>
    <col min="1029" max="1029" width="12.140625" style="1" bestFit="1" customWidth="1"/>
    <col min="1030" max="1030" width="14.5703125" style="1" customWidth="1"/>
    <col min="1031" max="1032" width="12.140625" style="1" bestFit="1" customWidth="1"/>
    <col min="1033" max="1033" width="11.85546875" style="1" bestFit="1" customWidth="1"/>
    <col min="1034" max="1034" width="12.140625" style="1" bestFit="1" customWidth="1"/>
    <col min="1035" max="1035" width="12" style="1" bestFit="1" customWidth="1"/>
    <col min="1036" max="1036" width="18.7109375" style="1" bestFit="1" customWidth="1"/>
    <col min="1037" max="1278" width="11.42578125" style="1"/>
    <col min="1279" max="1279" width="8.85546875" style="1" bestFit="1" customWidth="1"/>
    <col min="1280" max="1280" width="10.140625" style="1" bestFit="1" customWidth="1"/>
    <col min="1281" max="1281" width="12.140625" style="1" bestFit="1" customWidth="1"/>
    <col min="1282" max="1282" width="4.5703125" style="1" bestFit="1" customWidth="1"/>
    <col min="1283" max="1283" width="11.28515625" style="1" bestFit="1" customWidth="1"/>
    <col min="1284" max="1284" width="13.28515625" style="1" bestFit="1" customWidth="1"/>
    <col min="1285" max="1285" width="12.140625" style="1" bestFit="1" customWidth="1"/>
    <col min="1286" max="1286" width="14.5703125" style="1" customWidth="1"/>
    <col min="1287" max="1288" width="12.140625" style="1" bestFit="1" customWidth="1"/>
    <col min="1289" max="1289" width="11.85546875" style="1" bestFit="1" customWidth="1"/>
    <col min="1290" max="1290" width="12.140625" style="1" bestFit="1" customWidth="1"/>
    <col min="1291" max="1291" width="12" style="1" bestFit="1" customWidth="1"/>
    <col min="1292" max="1292" width="18.7109375" style="1" bestFit="1" customWidth="1"/>
    <col min="1293" max="1534" width="11.42578125" style="1"/>
    <col min="1535" max="1535" width="8.85546875" style="1" bestFit="1" customWidth="1"/>
    <col min="1536" max="1536" width="10.140625" style="1" bestFit="1" customWidth="1"/>
    <col min="1537" max="1537" width="12.140625" style="1" bestFit="1" customWidth="1"/>
    <col min="1538" max="1538" width="4.5703125" style="1" bestFit="1" customWidth="1"/>
    <col min="1539" max="1539" width="11.28515625" style="1" bestFit="1" customWidth="1"/>
    <col min="1540" max="1540" width="13.28515625" style="1" bestFit="1" customWidth="1"/>
    <col min="1541" max="1541" width="12.140625" style="1" bestFit="1" customWidth="1"/>
    <col min="1542" max="1542" width="14.5703125" style="1" customWidth="1"/>
    <col min="1543" max="1544" width="12.140625" style="1" bestFit="1" customWidth="1"/>
    <col min="1545" max="1545" width="11.85546875" style="1" bestFit="1" customWidth="1"/>
    <col min="1546" max="1546" width="12.140625" style="1" bestFit="1" customWidth="1"/>
    <col min="1547" max="1547" width="12" style="1" bestFit="1" customWidth="1"/>
    <col min="1548" max="1548" width="18.7109375" style="1" bestFit="1" customWidth="1"/>
    <col min="1549" max="1790" width="11.42578125" style="1"/>
    <col min="1791" max="1791" width="8.85546875" style="1" bestFit="1" customWidth="1"/>
    <col min="1792" max="1792" width="10.140625" style="1" bestFit="1" customWidth="1"/>
    <col min="1793" max="1793" width="12.140625" style="1" bestFit="1" customWidth="1"/>
    <col min="1794" max="1794" width="4.5703125" style="1" bestFit="1" customWidth="1"/>
    <col min="1795" max="1795" width="11.28515625" style="1" bestFit="1" customWidth="1"/>
    <col min="1796" max="1796" width="13.28515625" style="1" bestFit="1" customWidth="1"/>
    <col min="1797" max="1797" width="12.140625" style="1" bestFit="1" customWidth="1"/>
    <col min="1798" max="1798" width="14.5703125" style="1" customWidth="1"/>
    <col min="1799" max="1800" width="12.140625" style="1" bestFit="1" customWidth="1"/>
    <col min="1801" max="1801" width="11.85546875" style="1" bestFit="1" customWidth="1"/>
    <col min="1802" max="1802" width="12.140625" style="1" bestFit="1" customWidth="1"/>
    <col min="1803" max="1803" width="12" style="1" bestFit="1" customWidth="1"/>
    <col min="1804" max="1804" width="18.7109375" style="1" bestFit="1" customWidth="1"/>
    <col min="1805" max="2046" width="11.42578125" style="1"/>
    <col min="2047" max="2047" width="8.85546875" style="1" bestFit="1" customWidth="1"/>
    <col min="2048" max="2048" width="10.140625" style="1" bestFit="1" customWidth="1"/>
    <col min="2049" max="2049" width="12.140625" style="1" bestFit="1" customWidth="1"/>
    <col min="2050" max="2050" width="4.5703125" style="1" bestFit="1" customWidth="1"/>
    <col min="2051" max="2051" width="11.28515625" style="1" bestFit="1" customWidth="1"/>
    <col min="2052" max="2052" width="13.28515625" style="1" bestFit="1" customWidth="1"/>
    <col min="2053" max="2053" width="12.140625" style="1" bestFit="1" customWidth="1"/>
    <col min="2054" max="2054" width="14.5703125" style="1" customWidth="1"/>
    <col min="2055" max="2056" width="12.140625" style="1" bestFit="1" customWidth="1"/>
    <col min="2057" max="2057" width="11.85546875" style="1" bestFit="1" customWidth="1"/>
    <col min="2058" max="2058" width="12.140625" style="1" bestFit="1" customWidth="1"/>
    <col min="2059" max="2059" width="12" style="1" bestFit="1" customWidth="1"/>
    <col min="2060" max="2060" width="18.7109375" style="1" bestFit="1" customWidth="1"/>
    <col min="2061" max="2302" width="11.42578125" style="1"/>
    <col min="2303" max="2303" width="8.85546875" style="1" bestFit="1" customWidth="1"/>
    <col min="2304" max="2304" width="10.140625" style="1" bestFit="1" customWidth="1"/>
    <col min="2305" max="2305" width="12.140625" style="1" bestFit="1" customWidth="1"/>
    <col min="2306" max="2306" width="4.5703125" style="1" bestFit="1" customWidth="1"/>
    <col min="2307" max="2307" width="11.28515625" style="1" bestFit="1" customWidth="1"/>
    <col min="2308" max="2308" width="13.28515625" style="1" bestFit="1" customWidth="1"/>
    <col min="2309" max="2309" width="12.140625" style="1" bestFit="1" customWidth="1"/>
    <col min="2310" max="2310" width="14.5703125" style="1" customWidth="1"/>
    <col min="2311" max="2312" width="12.140625" style="1" bestFit="1" customWidth="1"/>
    <col min="2313" max="2313" width="11.85546875" style="1" bestFit="1" customWidth="1"/>
    <col min="2314" max="2314" width="12.140625" style="1" bestFit="1" customWidth="1"/>
    <col min="2315" max="2315" width="12" style="1" bestFit="1" customWidth="1"/>
    <col min="2316" max="2316" width="18.7109375" style="1" bestFit="1" customWidth="1"/>
    <col min="2317" max="2558" width="11.42578125" style="1"/>
    <col min="2559" max="2559" width="8.85546875" style="1" bestFit="1" customWidth="1"/>
    <col min="2560" max="2560" width="10.140625" style="1" bestFit="1" customWidth="1"/>
    <col min="2561" max="2561" width="12.140625" style="1" bestFit="1" customWidth="1"/>
    <col min="2562" max="2562" width="4.5703125" style="1" bestFit="1" customWidth="1"/>
    <col min="2563" max="2563" width="11.28515625" style="1" bestFit="1" customWidth="1"/>
    <col min="2564" max="2564" width="13.28515625" style="1" bestFit="1" customWidth="1"/>
    <col min="2565" max="2565" width="12.140625" style="1" bestFit="1" customWidth="1"/>
    <col min="2566" max="2566" width="14.5703125" style="1" customWidth="1"/>
    <col min="2567" max="2568" width="12.140625" style="1" bestFit="1" customWidth="1"/>
    <col min="2569" max="2569" width="11.85546875" style="1" bestFit="1" customWidth="1"/>
    <col min="2570" max="2570" width="12.140625" style="1" bestFit="1" customWidth="1"/>
    <col min="2571" max="2571" width="12" style="1" bestFit="1" customWidth="1"/>
    <col min="2572" max="2572" width="18.7109375" style="1" bestFit="1" customWidth="1"/>
    <col min="2573" max="2814" width="11.42578125" style="1"/>
    <col min="2815" max="2815" width="8.85546875" style="1" bestFit="1" customWidth="1"/>
    <col min="2816" max="2816" width="10.140625" style="1" bestFit="1" customWidth="1"/>
    <col min="2817" max="2817" width="12.140625" style="1" bestFit="1" customWidth="1"/>
    <col min="2818" max="2818" width="4.5703125" style="1" bestFit="1" customWidth="1"/>
    <col min="2819" max="2819" width="11.28515625" style="1" bestFit="1" customWidth="1"/>
    <col min="2820" max="2820" width="13.28515625" style="1" bestFit="1" customWidth="1"/>
    <col min="2821" max="2821" width="12.140625" style="1" bestFit="1" customWidth="1"/>
    <col min="2822" max="2822" width="14.5703125" style="1" customWidth="1"/>
    <col min="2823" max="2824" width="12.140625" style="1" bestFit="1" customWidth="1"/>
    <col min="2825" max="2825" width="11.85546875" style="1" bestFit="1" customWidth="1"/>
    <col min="2826" max="2826" width="12.140625" style="1" bestFit="1" customWidth="1"/>
    <col min="2827" max="2827" width="12" style="1" bestFit="1" customWidth="1"/>
    <col min="2828" max="2828" width="18.7109375" style="1" bestFit="1" customWidth="1"/>
    <col min="2829" max="3070" width="11.42578125" style="1"/>
    <col min="3071" max="3071" width="8.85546875" style="1" bestFit="1" customWidth="1"/>
    <col min="3072" max="3072" width="10.140625" style="1" bestFit="1" customWidth="1"/>
    <col min="3073" max="3073" width="12.140625" style="1" bestFit="1" customWidth="1"/>
    <col min="3074" max="3074" width="4.5703125" style="1" bestFit="1" customWidth="1"/>
    <col min="3075" max="3075" width="11.28515625" style="1" bestFit="1" customWidth="1"/>
    <col min="3076" max="3076" width="13.28515625" style="1" bestFit="1" customWidth="1"/>
    <col min="3077" max="3077" width="12.140625" style="1" bestFit="1" customWidth="1"/>
    <col min="3078" max="3078" width="14.5703125" style="1" customWidth="1"/>
    <col min="3079" max="3080" width="12.140625" style="1" bestFit="1" customWidth="1"/>
    <col min="3081" max="3081" width="11.85546875" style="1" bestFit="1" customWidth="1"/>
    <col min="3082" max="3082" width="12.140625" style="1" bestFit="1" customWidth="1"/>
    <col min="3083" max="3083" width="12" style="1" bestFit="1" customWidth="1"/>
    <col min="3084" max="3084" width="18.7109375" style="1" bestFit="1" customWidth="1"/>
    <col min="3085" max="3326" width="11.42578125" style="1"/>
    <col min="3327" max="3327" width="8.85546875" style="1" bestFit="1" customWidth="1"/>
    <col min="3328" max="3328" width="10.140625" style="1" bestFit="1" customWidth="1"/>
    <col min="3329" max="3329" width="12.140625" style="1" bestFit="1" customWidth="1"/>
    <col min="3330" max="3330" width="4.5703125" style="1" bestFit="1" customWidth="1"/>
    <col min="3331" max="3331" width="11.28515625" style="1" bestFit="1" customWidth="1"/>
    <col min="3332" max="3332" width="13.28515625" style="1" bestFit="1" customWidth="1"/>
    <col min="3333" max="3333" width="12.140625" style="1" bestFit="1" customWidth="1"/>
    <col min="3334" max="3334" width="14.5703125" style="1" customWidth="1"/>
    <col min="3335" max="3336" width="12.140625" style="1" bestFit="1" customWidth="1"/>
    <col min="3337" max="3337" width="11.85546875" style="1" bestFit="1" customWidth="1"/>
    <col min="3338" max="3338" width="12.140625" style="1" bestFit="1" customWidth="1"/>
    <col min="3339" max="3339" width="12" style="1" bestFit="1" customWidth="1"/>
    <col min="3340" max="3340" width="18.7109375" style="1" bestFit="1" customWidth="1"/>
    <col min="3341" max="3582" width="11.42578125" style="1"/>
    <col min="3583" max="3583" width="8.85546875" style="1" bestFit="1" customWidth="1"/>
    <col min="3584" max="3584" width="10.140625" style="1" bestFit="1" customWidth="1"/>
    <col min="3585" max="3585" width="12.140625" style="1" bestFit="1" customWidth="1"/>
    <col min="3586" max="3586" width="4.5703125" style="1" bestFit="1" customWidth="1"/>
    <col min="3587" max="3587" width="11.28515625" style="1" bestFit="1" customWidth="1"/>
    <col min="3588" max="3588" width="13.28515625" style="1" bestFit="1" customWidth="1"/>
    <col min="3589" max="3589" width="12.140625" style="1" bestFit="1" customWidth="1"/>
    <col min="3590" max="3590" width="14.5703125" style="1" customWidth="1"/>
    <col min="3591" max="3592" width="12.140625" style="1" bestFit="1" customWidth="1"/>
    <col min="3593" max="3593" width="11.85546875" style="1" bestFit="1" customWidth="1"/>
    <col min="3594" max="3594" width="12.140625" style="1" bestFit="1" customWidth="1"/>
    <col min="3595" max="3595" width="12" style="1" bestFit="1" customWidth="1"/>
    <col min="3596" max="3596" width="18.7109375" style="1" bestFit="1" customWidth="1"/>
    <col min="3597" max="3838" width="11.42578125" style="1"/>
    <col min="3839" max="3839" width="8.85546875" style="1" bestFit="1" customWidth="1"/>
    <col min="3840" max="3840" width="10.140625" style="1" bestFit="1" customWidth="1"/>
    <col min="3841" max="3841" width="12.140625" style="1" bestFit="1" customWidth="1"/>
    <col min="3842" max="3842" width="4.5703125" style="1" bestFit="1" customWidth="1"/>
    <col min="3843" max="3843" width="11.28515625" style="1" bestFit="1" customWidth="1"/>
    <col min="3844" max="3844" width="13.28515625" style="1" bestFit="1" customWidth="1"/>
    <col min="3845" max="3845" width="12.140625" style="1" bestFit="1" customWidth="1"/>
    <col min="3846" max="3846" width="14.5703125" style="1" customWidth="1"/>
    <col min="3847" max="3848" width="12.140625" style="1" bestFit="1" customWidth="1"/>
    <col min="3849" max="3849" width="11.85546875" style="1" bestFit="1" customWidth="1"/>
    <col min="3850" max="3850" width="12.140625" style="1" bestFit="1" customWidth="1"/>
    <col min="3851" max="3851" width="12" style="1" bestFit="1" customWidth="1"/>
    <col min="3852" max="3852" width="18.7109375" style="1" bestFit="1" customWidth="1"/>
    <col min="3853" max="4094" width="11.42578125" style="1"/>
    <col min="4095" max="4095" width="8.85546875" style="1" bestFit="1" customWidth="1"/>
    <col min="4096" max="4096" width="10.140625" style="1" bestFit="1" customWidth="1"/>
    <col min="4097" max="4097" width="12.140625" style="1" bestFit="1" customWidth="1"/>
    <col min="4098" max="4098" width="4.5703125" style="1" bestFit="1" customWidth="1"/>
    <col min="4099" max="4099" width="11.28515625" style="1" bestFit="1" customWidth="1"/>
    <col min="4100" max="4100" width="13.28515625" style="1" bestFit="1" customWidth="1"/>
    <col min="4101" max="4101" width="12.140625" style="1" bestFit="1" customWidth="1"/>
    <col min="4102" max="4102" width="14.5703125" style="1" customWidth="1"/>
    <col min="4103" max="4104" width="12.140625" style="1" bestFit="1" customWidth="1"/>
    <col min="4105" max="4105" width="11.85546875" style="1" bestFit="1" customWidth="1"/>
    <col min="4106" max="4106" width="12.140625" style="1" bestFit="1" customWidth="1"/>
    <col min="4107" max="4107" width="12" style="1" bestFit="1" customWidth="1"/>
    <col min="4108" max="4108" width="18.7109375" style="1" bestFit="1" customWidth="1"/>
    <col min="4109" max="4350" width="11.42578125" style="1"/>
    <col min="4351" max="4351" width="8.85546875" style="1" bestFit="1" customWidth="1"/>
    <col min="4352" max="4352" width="10.140625" style="1" bestFit="1" customWidth="1"/>
    <col min="4353" max="4353" width="12.140625" style="1" bestFit="1" customWidth="1"/>
    <col min="4354" max="4354" width="4.5703125" style="1" bestFit="1" customWidth="1"/>
    <col min="4355" max="4355" width="11.28515625" style="1" bestFit="1" customWidth="1"/>
    <col min="4356" max="4356" width="13.28515625" style="1" bestFit="1" customWidth="1"/>
    <col min="4357" max="4357" width="12.140625" style="1" bestFit="1" customWidth="1"/>
    <col min="4358" max="4358" width="14.5703125" style="1" customWidth="1"/>
    <col min="4359" max="4360" width="12.140625" style="1" bestFit="1" customWidth="1"/>
    <col min="4361" max="4361" width="11.85546875" style="1" bestFit="1" customWidth="1"/>
    <col min="4362" max="4362" width="12.140625" style="1" bestFit="1" customWidth="1"/>
    <col min="4363" max="4363" width="12" style="1" bestFit="1" customWidth="1"/>
    <col min="4364" max="4364" width="18.7109375" style="1" bestFit="1" customWidth="1"/>
    <col min="4365" max="4606" width="11.42578125" style="1"/>
    <col min="4607" max="4607" width="8.85546875" style="1" bestFit="1" customWidth="1"/>
    <col min="4608" max="4608" width="10.140625" style="1" bestFit="1" customWidth="1"/>
    <col min="4609" max="4609" width="12.140625" style="1" bestFit="1" customWidth="1"/>
    <col min="4610" max="4610" width="4.5703125" style="1" bestFit="1" customWidth="1"/>
    <col min="4611" max="4611" width="11.28515625" style="1" bestFit="1" customWidth="1"/>
    <col min="4612" max="4612" width="13.28515625" style="1" bestFit="1" customWidth="1"/>
    <col min="4613" max="4613" width="12.140625" style="1" bestFit="1" customWidth="1"/>
    <col min="4614" max="4614" width="14.5703125" style="1" customWidth="1"/>
    <col min="4615" max="4616" width="12.140625" style="1" bestFit="1" customWidth="1"/>
    <col min="4617" max="4617" width="11.85546875" style="1" bestFit="1" customWidth="1"/>
    <col min="4618" max="4618" width="12.140625" style="1" bestFit="1" customWidth="1"/>
    <col min="4619" max="4619" width="12" style="1" bestFit="1" customWidth="1"/>
    <col min="4620" max="4620" width="18.7109375" style="1" bestFit="1" customWidth="1"/>
    <col min="4621" max="4862" width="11.42578125" style="1"/>
    <col min="4863" max="4863" width="8.85546875" style="1" bestFit="1" customWidth="1"/>
    <col min="4864" max="4864" width="10.140625" style="1" bestFit="1" customWidth="1"/>
    <col min="4865" max="4865" width="12.140625" style="1" bestFit="1" customWidth="1"/>
    <col min="4866" max="4866" width="4.5703125" style="1" bestFit="1" customWidth="1"/>
    <col min="4867" max="4867" width="11.28515625" style="1" bestFit="1" customWidth="1"/>
    <col min="4868" max="4868" width="13.28515625" style="1" bestFit="1" customWidth="1"/>
    <col min="4869" max="4869" width="12.140625" style="1" bestFit="1" customWidth="1"/>
    <col min="4870" max="4870" width="14.5703125" style="1" customWidth="1"/>
    <col min="4871" max="4872" width="12.140625" style="1" bestFit="1" customWidth="1"/>
    <col min="4873" max="4873" width="11.85546875" style="1" bestFit="1" customWidth="1"/>
    <col min="4874" max="4874" width="12.140625" style="1" bestFit="1" customWidth="1"/>
    <col min="4875" max="4875" width="12" style="1" bestFit="1" customWidth="1"/>
    <col min="4876" max="4876" width="18.7109375" style="1" bestFit="1" customWidth="1"/>
    <col min="4877" max="5118" width="11.42578125" style="1"/>
    <col min="5119" max="5119" width="8.85546875" style="1" bestFit="1" customWidth="1"/>
    <col min="5120" max="5120" width="10.140625" style="1" bestFit="1" customWidth="1"/>
    <col min="5121" max="5121" width="12.140625" style="1" bestFit="1" customWidth="1"/>
    <col min="5122" max="5122" width="4.5703125" style="1" bestFit="1" customWidth="1"/>
    <col min="5123" max="5123" width="11.28515625" style="1" bestFit="1" customWidth="1"/>
    <col min="5124" max="5124" width="13.28515625" style="1" bestFit="1" customWidth="1"/>
    <col min="5125" max="5125" width="12.140625" style="1" bestFit="1" customWidth="1"/>
    <col min="5126" max="5126" width="14.5703125" style="1" customWidth="1"/>
    <col min="5127" max="5128" width="12.140625" style="1" bestFit="1" customWidth="1"/>
    <col min="5129" max="5129" width="11.85546875" style="1" bestFit="1" customWidth="1"/>
    <col min="5130" max="5130" width="12.140625" style="1" bestFit="1" customWidth="1"/>
    <col min="5131" max="5131" width="12" style="1" bestFit="1" customWidth="1"/>
    <col min="5132" max="5132" width="18.7109375" style="1" bestFit="1" customWidth="1"/>
    <col min="5133" max="5374" width="11.42578125" style="1"/>
    <col min="5375" max="5375" width="8.85546875" style="1" bestFit="1" customWidth="1"/>
    <col min="5376" max="5376" width="10.140625" style="1" bestFit="1" customWidth="1"/>
    <col min="5377" max="5377" width="12.140625" style="1" bestFit="1" customWidth="1"/>
    <col min="5378" max="5378" width="4.5703125" style="1" bestFit="1" customWidth="1"/>
    <col min="5379" max="5379" width="11.28515625" style="1" bestFit="1" customWidth="1"/>
    <col min="5380" max="5380" width="13.28515625" style="1" bestFit="1" customWidth="1"/>
    <col min="5381" max="5381" width="12.140625" style="1" bestFit="1" customWidth="1"/>
    <col min="5382" max="5382" width="14.5703125" style="1" customWidth="1"/>
    <col min="5383" max="5384" width="12.140625" style="1" bestFit="1" customWidth="1"/>
    <col min="5385" max="5385" width="11.85546875" style="1" bestFit="1" customWidth="1"/>
    <col min="5386" max="5386" width="12.140625" style="1" bestFit="1" customWidth="1"/>
    <col min="5387" max="5387" width="12" style="1" bestFit="1" customWidth="1"/>
    <col min="5388" max="5388" width="18.7109375" style="1" bestFit="1" customWidth="1"/>
    <col min="5389" max="5630" width="11.42578125" style="1"/>
    <col min="5631" max="5631" width="8.85546875" style="1" bestFit="1" customWidth="1"/>
    <col min="5632" max="5632" width="10.140625" style="1" bestFit="1" customWidth="1"/>
    <col min="5633" max="5633" width="12.140625" style="1" bestFit="1" customWidth="1"/>
    <col min="5634" max="5634" width="4.5703125" style="1" bestFit="1" customWidth="1"/>
    <col min="5635" max="5635" width="11.28515625" style="1" bestFit="1" customWidth="1"/>
    <col min="5636" max="5636" width="13.28515625" style="1" bestFit="1" customWidth="1"/>
    <col min="5637" max="5637" width="12.140625" style="1" bestFit="1" customWidth="1"/>
    <col min="5638" max="5638" width="14.5703125" style="1" customWidth="1"/>
    <col min="5639" max="5640" width="12.140625" style="1" bestFit="1" customWidth="1"/>
    <col min="5641" max="5641" width="11.85546875" style="1" bestFit="1" customWidth="1"/>
    <col min="5642" max="5642" width="12.140625" style="1" bestFit="1" customWidth="1"/>
    <col min="5643" max="5643" width="12" style="1" bestFit="1" customWidth="1"/>
    <col min="5644" max="5644" width="18.7109375" style="1" bestFit="1" customWidth="1"/>
    <col min="5645" max="5886" width="11.42578125" style="1"/>
    <col min="5887" max="5887" width="8.85546875" style="1" bestFit="1" customWidth="1"/>
    <col min="5888" max="5888" width="10.140625" style="1" bestFit="1" customWidth="1"/>
    <col min="5889" max="5889" width="12.140625" style="1" bestFit="1" customWidth="1"/>
    <col min="5890" max="5890" width="4.5703125" style="1" bestFit="1" customWidth="1"/>
    <col min="5891" max="5891" width="11.28515625" style="1" bestFit="1" customWidth="1"/>
    <col min="5892" max="5892" width="13.28515625" style="1" bestFit="1" customWidth="1"/>
    <col min="5893" max="5893" width="12.140625" style="1" bestFit="1" customWidth="1"/>
    <col min="5894" max="5894" width="14.5703125" style="1" customWidth="1"/>
    <col min="5895" max="5896" width="12.140625" style="1" bestFit="1" customWidth="1"/>
    <col min="5897" max="5897" width="11.85546875" style="1" bestFit="1" customWidth="1"/>
    <col min="5898" max="5898" width="12.140625" style="1" bestFit="1" customWidth="1"/>
    <col min="5899" max="5899" width="12" style="1" bestFit="1" customWidth="1"/>
    <col min="5900" max="5900" width="18.7109375" style="1" bestFit="1" customWidth="1"/>
    <col min="5901" max="6142" width="11.42578125" style="1"/>
    <col min="6143" max="6143" width="8.85546875" style="1" bestFit="1" customWidth="1"/>
    <col min="6144" max="6144" width="10.140625" style="1" bestFit="1" customWidth="1"/>
    <col min="6145" max="6145" width="12.140625" style="1" bestFit="1" customWidth="1"/>
    <col min="6146" max="6146" width="4.5703125" style="1" bestFit="1" customWidth="1"/>
    <col min="6147" max="6147" width="11.28515625" style="1" bestFit="1" customWidth="1"/>
    <col min="6148" max="6148" width="13.28515625" style="1" bestFit="1" customWidth="1"/>
    <col min="6149" max="6149" width="12.140625" style="1" bestFit="1" customWidth="1"/>
    <col min="6150" max="6150" width="14.5703125" style="1" customWidth="1"/>
    <col min="6151" max="6152" width="12.140625" style="1" bestFit="1" customWidth="1"/>
    <col min="6153" max="6153" width="11.85546875" style="1" bestFit="1" customWidth="1"/>
    <col min="6154" max="6154" width="12.140625" style="1" bestFit="1" customWidth="1"/>
    <col min="6155" max="6155" width="12" style="1" bestFit="1" customWidth="1"/>
    <col min="6156" max="6156" width="18.7109375" style="1" bestFit="1" customWidth="1"/>
    <col min="6157" max="6398" width="11.42578125" style="1"/>
    <col min="6399" max="6399" width="8.85546875" style="1" bestFit="1" customWidth="1"/>
    <col min="6400" max="6400" width="10.140625" style="1" bestFit="1" customWidth="1"/>
    <col min="6401" max="6401" width="12.140625" style="1" bestFit="1" customWidth="1"/>
    <col min="6402" max="6402" width="4.5703125" style="1" bestFit="1" customWidth="1"/>
    <col min="6403" max="6403" width="11.28515625" style="1" bestFit="1" customWidth="1"/>
    <col min="6404" max="6404" width="13.28515625" style="1" bestFit="1" customWidth="1"/>
    <col min="6405" max="6405" width="12.140625" style="1" bestFit="1" customWidth="1"/>
    <col min="6406" max="6406" width="14.5703125" style="1" customWidth="1"/>
    <col min="6407" max="6408" width="12.140625" style="1" bestFit="1" customWidth="1"/>
    <col min="6409" max="6409" width="11.85546875" style="1" bestFit="1" customWidth="1"/>
    <col min="6410" max="6410" width="12.140625" style="1" bestFit="1" customWidth="1"/>
    <col min="6411" max="6411" width="12" style="1" bestFit="1" customWidth="1"/>
    <col min="6412" max="6412" width="18.7109375" style="1" bestFit="1" customWidth="1"/>
    <col min="6413" max="6654" width="11.42578125" style="1"/>
    <col min="6655" max="6655" width="8.85546875" style="1" bestFit="1" customWidth="1"/>
    <col min="6656" max="6656" width="10.140625" style="1" bestFit="1" customWidth="1"/>
    <col min="6657" max="6657" width="12.140625" style="1" bestFit="1" customWidth="1"/>
    <col min="6658" max="6658" width="4.5703125" style="1" bestFit="1" customWidth="1"/>
    <col min="6659" max="6659" width="11.28515625" style="1" bestFit="1" customWidth="1"/>
    <col min="6660" max="6660" width="13.28515625" style="1" bestFit="1" customWidth="1"/>
    <col min="6661" max="6661" width="12.140625" style="1" bestFit="1" customWidth="1"/>
    <col min="6662" max="6662" width="14.5703125" style="1" customWidth="1"/>
    <col min="6663" max="6664" width="12.140625" style="1" bestFit="1" customWidth="1"/>
    <col min="6665" max="6665" width="11.85546875" style="1" bestFit="1" customWidth="1"/>
    <col min="6666" max="6666" width="12.140625" style="1" bestFit="1" customWidth="1"/>
    <col min="6667" max="6667" width="12" style="1" bestFit="1" customWidth="1"/>
    <col min="6668" max="6668" width="18.7109375" style="1" bestFit="1" customWidth="1"/>
    <col min="6669" max="6910" width="11.42578125" style="1"/>
    <col min="6911" max="6911" width="8.85546875" style="1" bestFit="1" customWidth="1"/>
    <col min="6912" max="6912" width="10.140625" style="1" bestFit="1" customWidth="1"/>
    <col min="6913" max="6913" width="12.140625" style="1" bestFit="1" customWidth="1"/>
    <col min="6914" max="6914" width="4.5703125" style="1" bestFit="1" customWidth="1"/>
    <col min="6915" max="6915" width="11.28515625" style="1" bestFit="1" customWidth="1"/>
    <col min="6916" max="6916" width="13.28515625" style="1" bestFit="1" customWidth="1"/>
    <col min="6917" max="6917" width="12.140625" style="1" bestFit="1" customWidth="1"/>
    <col min="6918" max="6918" width="14.5703125" style="1" customWidth="1"/>
    <col min="6919" max="6920" width="12.140625" style="1" bestFit="1" customWidth="1"/>
    <col min="6921" max="6921" width="11.85546875" style="1" bestFit="1" customWidth="1"/>
    <col min="6922" max="6922" width="12.140625" style="1" bestFit="1" customWidth="1"/>
    <col min="6923" max="6923" width="12" style="1" bestFit="1" customWidth="1"/>
    <col min="6924" max="6924" width="18.7109375" style="1" bestFit="1" customWidth="1"/>
    <col min="6925" max="7166" width="11.42578125" style="1"/>
    <col min="7167" max="7167" width="8.85546875" style="1" bestFit="1" customWidth="1"/>
    <col min="7168" max="7168" width="10.140625" style="1" bestFit="1" customWidth="1"/>
    <col min="7169" max="7169" width="12.140625" style="1" bestFit="1" customWidth="1"/>
    <col min="7170" max="7170" width="4.5703125" style="1" bestFit="1" customWidth="1"/>
    <col min="7171" max="7171" width="11.28515625" style="1" bestFit="1" customWidth="1"/>
    <col min="7172" max="7172" width="13.28515625" style="1" bestFit="1" customWidth="1"/>
    <col min="7173" max="7173" width="12.140625" style="1" bestFit="1" customWidth="1"/>
    <col min="7174" max="7174" width="14.5703125" style="1" customWidth="1"/>
    <col min="7175" max="7176" width="12.140625" style="1" bestFit="1" customWidth="1"/>
    <col min="7177" max="7177" width="11.85546875" style="1" bestFit="1" customWidth="1"/>
    <col min="7178" max="7178" width="12.140625" style="1" bestFit="1" customWidth="1"/>
    <col min="7179" max="7179" width="12" style="1" bestFit="1" customWidth="1"/>
    <col min="7180" max="7180" width="18.7109375" style="1" bestFit="1" customWidth="1"/>
    <col min="7181" max="7422" width="11.42578125" style="1"/>
    <col min="7423" max="7423" width="8.85546875" style="1" bestFit="1" customWidth="1"/>
    <col min="7424" max="7424" width="10.140625" style="1" bestFit="1" customWidth="1"/>
    <col min="7425" max="7425" width="12.140625" style="1" bestFit="1" customWidth="1"/>
    <col min="7426" max="7426" width="4.5703125" style="1" bestFit="1" customWidth="1"/>
    <col min="7427" max="7427" width="11.28515625" style="1" bestFit="1" customWidth="1"/>
    <col min="7428" max="7428" width="13.28515625" style="1" bestFit="1" customWidth="1"/>
    <col min="7429" max="7429" width="12.140625" style="1" bestFit="1" customWidth="1"/>
    <col min="7430" max="7430" width="14.5703125" style="1" customWidth="1"/>
    <col min="7431" max="7432" width="12.140625" style="1" bestFit="1" customWidth="1"/>
    <col min="7433" max="7433" width="11.85546875" style="1" bestFit="1" customWidth="1"/>
    <col min="7434" max="7434" width="12.140625" style="1" bestFit="1" customWidth="1"/>
    <col min="7435" max="7435" width="12" style="1" bestFit="1" customWidth="1"/>
    <col min="7436" max="7436" width="18.7109375" style="1" bestFit="1" customWidth="1"/>
    <col min="7437" max="7678" width="11.42578125" style="1"/>
    <col min="7679" max="7679" width="8.85546875" style="1" bestFit="1" customWidth="1"/>
    <col min="7680" max="7680" width="10.140625" style="1" bestFit="1" customWidth="1"/>
    <col min="7681" max="7681" width="12.140625" style="1" bestFit="1" customWidth="1"/>
    <col min="7682" max="7682" width="4.5703125" style="1" bestFit="1" customWidth="1"/>
    <col min="7683" max="7683" width="11.28515625" style="1" bestFit="1" customWidth="1"/>
    <col min="7684" max="7684" width="13.28515625" style="1" bestFit="1" customWidth="1"/>
    <col min="7685" max="7685" width="12.140625" style="1" bestFit="1" customWidth="1"/>
    <col min="7686" max="7686" width="14.5703125" style="1" customWidth="1"/>
    <col min="7687" max="7688" width="12.140625" style="1" bestFit="1" customWidth="1"/>
    <col min="7689" max="7689" width="11.85546875" style="1" bestFit="1" customWidth="1"/>
    <col min="7690" max="7690" width="12.140625" style="1" bestFit="1" customWidth="1"/>
    <col min="7691" max="7691" width="12" style="1" bestFit="1" customWidth="1"/>
    <col min="7692" max="7692" width="18.7109375" style="1" bestFit="1" customWidth="1"/>
    <col min="7693" max="7934" width="11.42578125" style="1"/>
    <col min="7935" max="7935" width="8.85546875" style="1" bestFit="1" customWidth="1"/>
    <col min="7936" max="7936" width="10.140625" style="1" bestFit="1" customWidth="1"/>
    <col min="7937" max="7937" width="12.140625" style="1" bestFit="1" customWidth="1"/>
    <col min="7938" max="7938" width="4.5703125" style="1" bestFit="1" customWidth="1"/>
    <col min="7939" max="7939" width="11.28515625" style="1" bestFit="1" customWidth="1"/>
    <col min="7940" max="7940" width="13.28515625" style="1" bestFit="1" customWidth="1"/>
    <col min="7941" max="7941" width="12.140625" style="1" bestFit="1" customWidth="1"/>
    <col min="7942" max="7942" width="14.5703125" style="1" customWidth="1"/>
    <col min="7943" max="7944" width="12.140625" style="1" bestFit="1" customWidth="1"/>
    <col min="7945" max="7945" width="11.85546875" style="1" bestFit="1" customWidth="1"/>
    <col min="7946" max="7946" width="12.140625" style="1" bestFit="1" customWidth="1"/>
    <col min="7947" max="7947" width="12" style="1" bestFit="1" customWidth="1"/>
    <col min="7948" max="7948" width="18.7109375" style="1" bestFit="1" customWidth="1"/>
    <col min="7949" max="8190" width="11.42578125" style="1"/>
    <col min="8191" max="8191" width="8.85546875" style="1" bestFit="1" customWidth="1"/>
    <col min="8192" max="8192" width="10.140625" style="1" bestFit="1" customWidth="1"/>
    <col min="8193" max="8193" width="12.140625" style="1" bestFit="1" customWidth="1"/>
    <col min="8194" max="8194" width="4.5703125" style="1" bestFit="1" customWidth="1"/>
    <col min="8195" max="8195" width="11.28515625" style="1" bestFit="1" customWidth="1"/>
    <col min="8196" max="8196" width="13.28515625" style="1" bestFit="1" customWidth="1"/>
    <col min="8197" max="8197" width="12.140625" style="1" bestFit="1" customWidth="1"/>
    <col min="8198" max="8198" width="14.5703125" style="1" customWidth="1"/>
    <col min="8199" max="8200" width="12.140625" style="1" bestFit="1" customWidth="1"/>
    <col min="8201" max="8201" width="11.85546875" style="1" bestFit="1" customWidth="1"/>
    <col min="8202" max="8202" width="12.140625" style="1" bestFit="1" customWidth="1"/>
    <col min="8203" max="8203" width="12" style="1" bestFit="1" customWidth="1"/>
    <col min="8204" max="8204" width="18.7109375" style="1" bestFit="1" customWidth="1"/>
    <col min="8205" max="8446" width="11.42578125" style="1"/>
    <col min="8447" max="8447" width="8.85546875" style="1" bestFit="1" customWidth="1"/>
    <col min="8448" max="8448" width="10.140625" style="1" bestFit="1" customWidth="1"/>
    <col min="8449" max="8449" width="12.140625" style="1" bestFit="1" customWidth="1"/>
    <col min="8450" max="8450" width="4.5703125" style="1" bestFit="1" customWidth="1"/>
    <col min="8451" max="8451" width="11.28515625" style="1" bestFit="1" customWidth="1"/>
    <col min="8452" max="8452" width="13.28515625" style="1" bestFit="1" customWidth="1"/>
    <col min="8453" max="8453" width="12.140625" style="1" bestFit="1" customWidth="1"/>
    <col min="8454" max="8454" width="14.5703125" style="1" customWidth="1"/>
    <col min="8455" max="8456" width="12.140625" style="1" bestFit="1" customWidth="1"/>
    <col min="8457" max="8457" width="11.85546875" style="1" bestFit="1" customWidth="1"/>
    <col min="8458" max="8458" width="12.140625" style="1" bestFit="1" customWidth="1"/>
    <col min="8459" max="8459" width="12" style="1" bestFit="1" customWidth="1"/>
    <col min="8460" max="8460" width="18.7109375" style="1" bestFit="1" customWidth="1"/>
    <col min="8461" max="8702" width="11.42578125" style="1"/>
    <col min="8703" max="8703" width="8.85546875" style="1" bestFit="1" customWidth="1"/>
    <col min="8704" max="8704" width="10.140625" style="1" bestFit="1" customWidth="1"/>
    <col min="8705" max="8705" width="12.140625" style="1" bestFit="1" customWidth="1"/>
    <col min="8706" max="8706" width="4.5703125" style="1" bestFit="1" customWidth="1"/>
    <col min="8707" max="8707" width="11.28515625" style="1" bestFit="1" customWidth="1"/>
    <col min="8708" max="8708" width="13.28515625" style="1" bestFit="1" customWidth="1"/>
    <col min="8709" max="8709" width="12.140625" style="1" bestFit="1" customWidth="1"/>
    <col min="8710" max="8710" width="14.5703125" style="1" customWidth="1"/>
    <col min="8711" max="8712" width="12.140625" style="1" bestFit="1" customWidth="1"/>
    <col min="8713" max="8713" width="11.85546875" style="1" bestFit="1" customWidth="1"/>
    <col min="8714" max="8714" width="12.140625" style="1" bestFit="1" customWidth="1"/>
    <col min="8715" max="8715" width="12" style="1" bestFit="1" customWidth="1"/>
    <col min="8716" max="8716" width="18.7109375" style="1" bestFit="1" customWidth="1"/>
    <col min="8717" max="8958" width="11.42578125" style="1"/>
    <col min="8959" max="8959" width="8.85546875" style="1" bestFit="1" customWidth="1"/>
    <col min="8960" max="8960" width="10.140625" style="1" bestFit="1" customWidth="1"/>
    <col min="8961" max="8961" width="12.140625" style="1" bestFit="1" customWidth="1"/>
    <col min="8962" max="8962" width="4.5703125" style="1" bestFit="1" customWidth="1"/>
    <col min="8963" max="8963" width="11.28515625" style="1" bestFit="1" customWidth="1"/>
    <col min="8964" max="8964" width="13.28515625" style="1" bestFit="1" customWidth="1"/>
    <col min="8965" max="8965" width="12.140625" style="1" bestFit="1" customWidth="1"/>
    <col min="8966" max="8966" width="14.5703125" style="1" customWidth="1"/>
    <col min="8967" max="8968" width="12.140625" style="1" bestFit="1" customWidth="1"/>
    <col min="8969" max="8969" width="11.85546875" style="1" bestFit="1" customWidth="1"/>
    <col min="8970" max="8970" width="12.140625" style="1" bestFit="1" customWidth="1"/>
    <col min="8971" max="8971" width="12" style="1" bestFit="1" customWidth="1"/>
    <col min="8972" max="8972" width="18.7109375" style="1" bestFit="1" customWidth="1"/>
    <col min="8973" max="9214" width="11.42578125" style="1"/>
    <col min="9215" max="9215" width="8.85546875" style="1" bestFit="1" customWidth="1"/>
    <col min="9216" max="9216" width="10.140625" style="1" bestFit="1" customWidth="1"/>
    <col min="9217" max="9217" width="12.140625" style="1" bestFit="1" customWidth="1"/>
    <col min="9218" max="9218" width="4.5703125" style="1" bestFit="1" customWidth="1"/>
    <col min="9219" max="9219" width="11.28515625" style="1" bestFit="1" customWidth="1"/>
    <col min="9220" max="9220" width="13.28515625" style="1" bestFit="1" customWidth="1"/>
    <col min="9221" max="9221" width="12.140625" style="1" bestFit="1" customWidth="1"/>
    <col min="9222" max="9222" width="14.5703125" style="1" customWidth="1"/>
    <col min="9223" max="9224" width="12.140625" style="1" bestFit="1" customWidth="1"/>
    <col min="9225" max="9225" width="11.85546875" style="1" bestFit="1" customWidth="1"/>
    <col min="9226" max="9226" width="12.140625" style="1" bestFit="1" customWidth="1"/>
    <col min="9227" max="9227" width="12" style="1" bestFit="1" customWidth="1"/>
    <col min="9228" max="9228" width="18.7109375" style="1" bestFit="1" customWidth="1"/>
    <col min="9229" max="9470" width="11.42578125" style="1"/>
    <col min="9471" max="9471" width="8.85546875" style="1" bestFit="1" customWidth="1"/>
    <col min="9472" max="9472" width="10.140625" style="1" bestFit="1" customWidth="1"/>
    <col min="9473" max="9473" width="12.140625" style="1" bestFit="1" customWidth="1"/>
    <col min="9474" max="9474" width="4.5703125" style="1" bestFit="1" customWidth="1"/>
    <col min="9475" max="9475" width="11.28515625" style="1" bestFit="1" customWidth="1"/>
    <col min="9476" max="9476" width="13.28515625" style="1" bestFit="1" customWidth="1"/>
    <col min="9477" max="9477" width="12.140625" style="1" bestFit="1" customWidth="1"/>
    <col min="9478" max="9478" width="14.5703125" style="1" customWidth="1"/>
    <col min="9479" max="9480" width="12.140625" style="1" bestFit="1" customWidth="1"/>
    <col min="9481" max="9481" width="11.85546875" style="1" bestFit="1" customWidth="1"/>
    <col min="9482" max="9482" width="12.140625" style="1" bestFit="1" customWidth="1"/>
    <col min="9483" max="9483" width="12" style="1" bestFit="1" customWidth="1"/>
    <col min="9484" max="9484" width="18.7109375" style="1" bestFit="1" customWidth="1"/>
    <col min="9485" max="9726" width="11.42578125" style="1"/>
    <col min="9727" max="9727" width="8.85546875" style="1" bestFit="1" customWidth="1"/>
    <col min="9728" max="9728" width="10.140625" style="1" bestFit="1" customWidth="1"/>
    <col min="9729" max="9729" width="12.140625" style="1" bestFit="1" customWidth="1"/>
    <col min="9730" max="9730" width="4.5703125" style="1" bestFit="1" customWidth="1"/>
    <col min="9731" max="9731" width="11.28515625" style="1" bestFit="1" customWidth="1"/>
    <col min="9732" max="9732" width="13.28515625" style="1" bestFit="1" customWidth="1"/>
    <col min="9733" max="9733" width="12.140625" style="1" bestFit="1" customWidth="1"/>
    <col min="9734" max="9734" width="14.5703125" style="1" customWidth="1"/>
    <col min="9735" max="9736" width="12.140625" style="1" bestFit="1" customWidth="1"/>
    <col min="9737" max="9737" width="11.85546875" style="1" bestFit="1" customWidth="1"/>
    <col min="9738" max="9738" width="12.140625" style="1" bestFit="1" customWidth="1"/>
    <col min="9739" max="9739" width="12" style="1" bestFit="1" customWidth="1"/>
    <col min="9740" max="9740" width="18.7109375" style="1" bestFit="1" customWidth="1"/>
    <col min="9741" max="9982" width="11.42578125" style="1"/>
    <col min="9983" max="9983" width="8.85546875" style="1" bestFit="1" customWidth="1"/>
    <col min="9984" max="9984" width="10.140625" style="1" bestFit="1" customWidth="1"/>
    <col min="9985" max="9985" width="12.140625" style="1" bestFit="1" customWidth="1"/>
    <col min="9986" max="9986" width="4.5703125" style="1" bestFit="1" customWidth="1"/>
    <col min="9987" max="9987" width="11.28515625" style="1" bestFit="1" customWidth="1"/>
    <col min="9988" max="9988" width="13.28515625" style="1" bestFit="1" customWidth="1"/>
    <col min="9989" max="9989" width="12.140625" style="1" bestFit="1" customWidth="1"/>
    <col min="9990" max="9990" width="14.5703125" style="1" customWidth="1"/>
    <col min="9991" max="9992" width="12.140625" style="1" bestFit="1" customWidth="1"/>
    <col min="9993" max="9993" width="11.85546875" style="1" bestFit="1" customWidth="1"/>
    <col min="9994" max="9994" width="12.140625" style="1" bestFit="1" customWidth="1"/>
    <col min="9995" max="9995" width="12" style="1" bestFit="1" customWidth="1"/>
    <col min="9996" max="9996" width="18.7109375" style="1" bestFit="1" customWidth="1"/>
    <col min="9997" max="10238" width="11.42578125" style="1"/>
    <col min="10239" max="10239" width="8.85546875" style="1" bestFit="1" customWidth="1"/>
    <col min="10240" max="10240" width="10.140625" style="1" bestFit="1" customWidth="1"/>
    <col min="10241" max="10241" width="12.140625" style="1" bestFit="1" customWidth="1"/>
    <col min="10242" max="10242" width="4.5703125" style="1" bestFit="1" customWidth="1"/>
    <col min="10243" max="10243" width="11.28515625" style="1" bestFit="1" customWidth="1"/>
    <col min="10244" max="10244" width="13.28515625" style="1" bestFit="1" customWidth="1"/>
    <col min="10245" max="10245" width="12.140625" style="1" bestFit="1" customWidth="1"/>
    <col min="10246" max="10246" width="14.5703125" style="1" customWidth="1"/>
    <col min="10247" max="10248" width="12.140625" style="1" bestFit="1" customWidth="1"/>
    <col min="10249" max="10249" width="11.85546875" style="1" bestFit="1" customWidth="1"/>
    <col min="10250" max="10250" width="12.140625" style="1" bestFit="1" customWidth="1"/>
    <col min="10251" max="10251" width="12" style="1" bestFit="1" customWidth="1"/>
    <col min="10252" max="10252" width="18.7109375" style="1" bestFit="1" customWidth="1"/>
    <col min="10253" max="10494" width="11.42578125" style="1"/>
    <col min="10495" max="10495" width="8.85546875" style="1" bestFit="1" customWidth="1"/>
    <col min="10496" max="10496" width="10.140625" style="1" bestFit="1" customWidth="1"/>
    <col min="10497" max="10497" width="12.140625" style="1" bestFit="1" customWidth="1"/>
    <col min="10498" max="10498" width="4.5703125" style="1" bestFit="1" customWidth="1"/>
    <col min="10499" max="10499" width="11.28515625" style="1" bestFit="1" customWidth="1"/>
    <col min="10500" max="10500" width="13.28515625" style="1" bestFit="1" customWidth="1"/>
    <col min="10501" max="10501" width="12.140625" style="1" bestFit="1" customWidth="1"/>
    <col min="10502" max="10502" width="14.5703125" style="1" customWidth="1"/>
    <col min="10503" max="10504" width="12.140625" style="1" bestFit="1" customWidth="1"/>
    <col min="10505" max="10505" width="11.85546875" style="1" bestFit="1" customWidth="1"/>
    <col min="10506" max="10506" width="12.140625" style="1" bestFit="1" customWidth="1"/>
    <col min="10507" max="10507" width="12" style="1" bestFit="1" customWidth="1"/>
    <col min="10508" max="10508" width="18.7109375" style="1" bestFit="1" customWidth="1"/>
    <col min="10509" max="10750" width="11.42578125" style="1"/>
    <col min="10751" max="10751" width="8.85546875" style="1" bestFit="1" customWidth="1"/>
    <col min="10752" max="10752" width="10.140625" style="1" bestFit="1" customWidth="1"/>
    <col min="10753" max="10753" width="12.140625" style="1" bestFit="1" customWidth="1"/>
    <col min="10754" max="10754" width="4.5703125" style="1" bestFit="1" customWidth="1"/>
    <col min="10755" max="10755" width="11.28515625" style="1" bestFit="1" customWidth="1"/>
    <col min="10756" max="10756" width="13.28515625" style="1" bestFit="1" customWidth="1"/>
    <col min="10757" max="10757" width="12.140625" style="1" bestFit="1" customWidth="1"/>
    <col min="10758" max="10758" width="14.5703125" style="1" customWidth="1"/>
    <col min="10759" max="10760" width="12.140625" style="1" bestFit="1" customWidth="1"/>
    <col min="10761" max="10761" width="11.85546875" style="1" bestFit="1" customWidth="1"/>
    <col min="10762" max="10762" width="12.140625" style="1" bestFit="1" customWidth="1"/>
    <col min="10763" max="10763" width="12" style="1" bestFit="1" customWidth="1"/>
    <col min="10764" max="10764" width="18.7109375" style="1" bestFit="1" customWidth="1"/>
    <col min="10765" max="11006" width="11.42578125" style="1"/>
    <col min="11007" max="11007" width="8.85546875" style="1" bestFit="1" customWidth="1"/>
    <col min="11008" max="11008" width="10.140625" style="1" bestFit="1" customWidth="1"/>
    <col min="11009" max="11009" width="12.140625" style="1" bestFit="1" customWidth="1"/>
    <col min="11010" max="11010" width="4.5703125" style="1" bestFit="1" customWidth="1"/>
    <col min="11011" max="11011" width="11.28515625" style="1" bestFit="1" customWidth="1"/>
    <col min="11012" max="11012" width="13.28515625" style="1" bestFit="1" customWidth="1"/>
    <col min="11013" max="11013" width="12.140625" style="1" bestFit="1" customWidth="1"/>
    <col min="11014" max="11014" width="14.5703125" style="1" customWidth="1"/>
    <col min="11015" max="11016" width="12.140625" style="1" bestFit="1" customWidth="1"/>
    <col min="11017" max="11017" width="11.85546875" style="1" bestFit="1" customWidth="1"/>
    <col min="11018" max="11018" width="12.140625" style="1" bestFit="1" customWidth="1"/>
    <col min="11019" max="11019" width="12" style="1" bestFit="1" customWidth="1"/>
    <col min="11020" max="11020" width="18.7109375" style="1" bestFit="1" customWidth="1"/>
    <col min="11021" max="11262" width="11.42578125" style="1"/>
    <col min="11263" max="11263" width="8.85546875" style="1" bestFit="1" customWidth="1"/>
    <col min="11264" max="11264" width="10.140625" style="1" bestFit="1" customWidth="1"/>
    <col min="11265" max="11265" width="12.140625" style="1" bestFit="1" customWidth="1"/>
    <col min="11266" max="11266" width="4.5703125" style="1" bestFit="1" customWidth="1"/>
    <col min="11267" max="11267" width="11.28515625" style="1" bestFit="1" customWidth="1"/>
    <col min="11268" max="11268" width="13.28515625" style="1" bestFit="1" customWidth="1"/>
    <col min="11269" max="11269" width="12.140625" style="1" bestFit="1" customWidth="1"/>
    <col min="11270" max="11270" width="14.5703125" style="1" customWidth="1"/>
    <col min="11271" max="11272" width="12.140625" style="1" bestFit="1" customWidth="1"/>
    <col min="11273" max="11273" width="11.85546875" style="1" bestFit="1" customWidth="1"/>
    <col min="11274" max="11274" width="12.140625" style="1" bestFit="1" customWidth="1"/>
    <col min="11275" max="11275" width="12" style="1" bestFit="1" customWidth="1"/>
    <col min="11276" max="11276" width="18.7109375" style="1" bestFit="1" customWidth="1"/>
    <col min="11277" max="11518" width="11.42578125" style="1"/>
    <col min="11519" max="11519" width="8.85546875" style="1" bestFit="1" customWidth="1"/>
    <col min="11520" max="11520" width="10.140625" style="1" bestFit="1" customWidth="1"/>
    <col min="11521" max="11521" width="12.140625" style="1" bestFit="1" customWidth="1"/>
    <col min="11522" max="11522" width="4.5703125" style="1" bestFit="1" customWidth="1"/>
    <col min="11523" max="11523" width="11.28515625" style="1" bestFit="1" customWidth="1"/>
    <col min="11524" max="11524" width="13.28515625" style="1" bestFit="1" customWidth="1"/>
    <col min="11525" max="11525" width="12.140625" style="1" bestFit="1" customWidth="1"/>
    <col min="11526" max="11526" width="14.5703125" style="1" customWidth="1"/>
    <col min="11527" max="11528" width="12.140625" style="1" bestFit="1" customWidth="1"/>
    <col min="11529" max="11529" width="11.85546875" style="1" bestFit="1" customWidth="1"/>
    <col min="11530" max="11530" width="12.140625" style="1" bestFit="1" customWidth="1"/>
    <col min="11531" max="11531" width="12" style="1" bestFit="1" customWidth="1"/>
    <col min="11532" max="11532" width="18.7109375" style="1" bestFit="1" customWidth="1"/>
    <col min="11533" max="11774" width="11.42578125" style="1"/>
    <col min="11775" max="11775" width="8.85546875" style="1" bestFit="1" customWidth="1"/>
    <col min="11776" max="11776" width="10.140625" style="1" bestFit="1" customWidth="1"/>
    <col min="11777" max="11777" width="12.140625" style="1" bestFit="1" customWidth="1"/>
    <col min="11778" max="11778" width="4.5703125" style="1" bestFit="1" customWidth="1"/>
    <col min="11779" max="11779" width="11.28515625" style="1" bestFit="1" customWidth="1"/>
    <col min="11780" max="11780" width="13.28515625" style="1" bestFit="1" customWidth="1"/>
    <col min="11781" max="11781" width="12.140625" style="1" bestFit="1" customWidth="1"/>
    <col min="11782" max="11782" width="14.5703125" style="1" customWidth="1"/>
    <col min="11783" max="11784" width="12.140625" style="1" bestFit="1" customWidth="1"/>
    <col min="11785" max="11785" width="11.85546875" style="1" bestFit="1" customWidth="1"/>
    <col min="11786" max="11786" width="12.140625" style="1" bestFit="1" customWidth="1"/>
    <col min="11787" max="11787" width="12" style="1" bestFit="1" customWidth="1"/>
    <col min="11788" max="11788" width="18.7109375" style="1" bestFit="1" customWidth="1"/>
    <col min="11789" max="12030" width="11.42578125" style="1"/>
    <col min="12031" max="12031" width="8.85546875" style="1" bestFit="1" customWidth="1"/>
    <col min="12032" max="12032" width="10.140625" style="1" bestFit="1" customWidth="1"/>
    <col min="12033" max="12033" width="12.140625" style="1" bestFit="1" customWidth="1"/>
    <col min="12034" max="12034" width="4.5703125" style="1" bestFit="1" customWidth="1"/>
    <col min="12035" max="12035" width="11.28515625" style="1" bestFit="1" customWidth="1"/>
    <col min="12036" max="12036" width="13.28515625" style="1" bestFit="1" customWidth="1"/>
    <col min="12037" max="12037" width="12.140625" style="1" bestFit="1" customWidth="1"/>
    <col min="12038" max="12038" width="14.5703125" style="1" customWidth="1"/>
    <col min="12039" max="12040" width="12.140625" style="1" bestFit="1" customWidth="1"/>
    <col min="12041" max="12041" width="11.85546875" style="1" bestFit="1" customWidth="1"/>
    <col min="12042" max="12042" width="12.140625" style="1" bestFit="1" customWidth="1"/>
    <col min="12043" max="12043" width="12" style="1" bestFit="1" customWidth="1"/>
    <col min="12044" max="12044" width="18.7109375" style="1" bestFit="1" customWidth="1"/>
    <col min="12045" max="12286" width="11.42578125" style="1"/>
    <col min="12287" max="12287" width="8.85546875" style="1" bestFit="1" customWidth="1"/>
    <col min="12288" max="12288" width="10.140625" style="1" bestFit="1" customWidth="1"/>
    <col min="12289" max="12289" width="12.140625" style="1" bestFit="1" customWidth="1"/>
    <col min="12290" max="12290" width="4.5703125" style="1" bestFit="1" customWidth="1"/>
    <col min="12291" max="12291" width="11.28515625" style="1" bestFit="1" customWidth="1"/>
    <col min="12292" max="12292" width="13.28515625" style="1" bestFit="1" customWidth="1"/>
    <col min="12293" max="12293" width="12.140625" style="1" bestFit="1" customWidth="1"/>
    <col min="12294" max="12294" width="14.5703125" style="1" customWidth="1"/>
    <col min="12295" max="12296" width="12.140625" style="1" bestFit="1" customWidth="1"/>
    <col min="12297" max="12297" width="11.85546875" style="1" bestFit="1" customWidth="1"/>
    <col min="12298" max="12298" width="12.140625" style="1" bestFit="1" customWidth="1"/>
    <col min="12299" max="12299" width="12" style="1" bestFit="1" customWidth="1"/>
    <col min="12300" max="12300" width="18.7109375" style="1" bestFit="1" customWidth="1"/>
    <col min="12301" max="12542" width="11.42578125" style="1"/>
    <col min="12543" max="12543" width="8.85546875" style="1" bestFit="1" customWidth="1"/>
    <col min="12544" max="12544" width="10.140625" style="1" bestFit="1" customWidth="1"/>
    <col min="12545" max="12545" width="12.140625" style="1" bestFit="1" customWidth="1"/>
    <col min="12546" max="12546" width="4.5703125" style="1" bestFit="1" customWidth="1"/>
    <col min="12547" max="12547" width="11.28515625" style="1" bestFit="1" customWidth="1"/>
    <col min="12548" max="12548" width="13.28515625" style="1" bestFit="1" customWidth="1"/>
    <col min="12549" max="12549" width="12.140625" style="1" bestFit="1" customWidth="1"/>
    <col min="12550" max="12550" width="14.5703125" style="1" customWidth="1"/>
    <col min="12551" max="12552" width="12.140625" style="1" bestFit="1" customWidth="1"/>
    <col min="12553" max="12553" width="11.85546875" style="1" bestFit="1" customWidth="1"/>
    <col min="12554" max="12554" width="12.140625" style="1" bestFit="1" customWidth="1"/>
    <col min="12555" max="12555" width="12" style="1" bestFit="1" customWidth="1"/>
    <col min="12556" max="12556" width="18.7109375" style="1" bestFit="1" customWidth="1"/>
    <col min="12557" max="12798" width="11.42578125" style="1"/>
    <col min="12799" max="12799" width="8.85546875" style="1" bestFit="1" customWidth="1"/>
    <col min="12800" max="12800" width="10.140625" style="1" bestFit="1" customWidth="1"/>
    <col min="12801" max="12801" width="12.140625" style="1" bestFit="1" customWidth="1"/>
    <col min="12802" max="12802" width="4.5703125" style="1" bestFit="1" customWidth="1"/>
    <col min="12803" max="12803" width="11.28515625" style="1" bestFit="1" customWidth="1"/>
    <col min="12804" max="12804" width="13.28515625" style="1" bestFit="1" customWidth="1"/>
    <col min="12805" max="12805" width="12.140625" style="1" bestFit="1" customWidth="1"/>
    <col min="12806" max="12806" width="14.5703125" style="1" customWidth="1"/>
    <col min="12807" max="12808" width="12.140625" style="1" bestFit="1" customWidth="1"/>
    <col min="12809" max="12809" width="11.85546875" style="1" bestFit="1" customWidth="1"/>
    <col min="12810" max="12810" width="12.140625" style="1" bestFit="1" customWidth="1"/>
    <col min="12811" max="12811" width="12" style="1" bestFit="1" customWidth="1"/>
    <col min="12812" max="12812" width="18.7109375" style="1" bestFit="1" customWidth="1"/>
    <col min="12813" max="13054" width="11.42578125" style="1"/>
    <col min="13055" max="13055" width="8.85546875" style="1" bestFit="1" customWidth="1"/>
    <col min="13056" max="13056" width="10.140625" style="1" bestFit="1" customWidth="1"/>
    <col min="13057" max="13057" width="12.140625" style="1" bestFit="1" customWidth="1"/>
    <col min="13058" max="13058" width="4.5703125" style="1" bestFit="1" customWidth="1"/>
    <col min="13059" max="13059" width="11.28515625" style="1" bestFit="1" customWidth="1"/>
    <col min="13060" max="13060" width="13.28515625" style="1" bestFit="1" customWidth="1"/>
    <col min="13061" max="13061" width="12.140625" style="1" bestFit="1" customWidth="1"/>
    <col min="13062" max="13062" width="14.5703125" style="1" customWidth="1"/>
    <col min="13063" max="13064" width="12.140625" style="1" bestFit="1" customWidth="1"/>
    <col min="13065" max="13065" width="11.85546875" style="1" bestFit="1" customWidth="1"/>
    <col min="13066" max="13066" width="12.140625" style="1" bestFit="1" customWidth="1"/>
    <col min="13067" max="13067" width="12" style="1" bestFit="1" customWidth="1"/>
    <col min="13068" max="13068" width="18.7109375" style="1" bestFit="1" customWidth="1"/>
    <col min="13069" max="13310" width="11.42578125" style="1"/>
    <col min="13311" max="13311" width="8.85546875" style="1" bestFit="1" customWidth="1"/>
    <col min="13312" max="13312" width="10.140625" style="1" bestFit="1" customWidth="1"/>
    <col min="13313" max="13313" width="12.140625" style="1" bestFit="1" customWidth="1"/>
    <col min="13314" max="13314" width="4.5703125" style="1" bestFit="1" customWidth="1"/>
    <col min="13315" max="13315" width="11.28515625" style="1" bestFit="1" customWidth="1"/>
    <col min="13316" max="13316" width="13.28515625" style="1" bestFit="1" customWidth="1"/>
    <col min="13317" max="13317" width="12.140625" style="1" bestFit="1" customWidth="1"/>
    <col min="13318" max="13318" width="14.5703125" style="1" customWidth="1"/>
    <col min="13319" max="13320" width="12.140625" style="1" bestFit="1" customWidth="1"/>
    <col min="13321" max="13321" width="11.85546875" style="1" bestFit="1" customWidth="1"/>
    <col min="13322" max="13322" width="12.140625" style="1" bestFit="1" customWidth="1"/>
    <col min="13323" max="13323" width="12" style="1" bestFit="1" customWidth="1"/>
    <col min="13324" max="13324" width="18.7109375" style="1" bestFit="1" customWidth="1"/>
    <col min="13325" max="13566" width="11.42578125" style="1"/>
    <col min="13567" max="13567" width="8.85546875" style="1" bestFit="1" customWidth="1"/>
    <col min="13568" max="13568" width="10.140625" style="1" bestFit="1" customWidth="1"/>
    <col min="13569" max="13569" width="12.140625" style="1" bestFit="1" customWidth="1"/>
    <col min="13570" max="13570" width="4.5703125" style="1" bestFit="1" customWidth="1"/>
    <col min="13571" max="13571" width="11.28515625" style="1" bestFit="1" customWidth="1"/>
    <col min="13572" max="13572" width="13.28515625" style="1" bestFit="1" customWidth="1"/>
    <col min="13573" max="13573" width="12.140625" style="1" bestFit="1" customWidth="1"/>
    <col min="13574" max="13574" width="14.5703125" style="1" customWidth="1"/>
    <col min="13575" max="13576" width="12.140625" style="1" bestFit="1" customWidth="1"/>
    <col min="13577" max="13577" width="11.85546875" style="1" bestFit="1" customWidth="1"/>
    <col min="13578" max="13578" width="12.140625" style="1" bestFit="1" customWidth="1"/>
    <col min="13579" max="13579" width="12" style="1" bestFit="1" customWidth="1"/>
    <col min="13580" max="13580" width="18.7109375" style="1" bestFit="1" customWidth="1"/>
    <col min="13581" max="13822" width="11.42578125" style="1"/>
    <col min="13823" max="13823" width="8.85546875" style="1" bestFit="1" customWidth="1"/>
    <col min="13824" max="13824" width="10.140625" style="1" bestFit="1" customWidth="1"/>
    <col min="13825" max="13825" width="12.140625" style="1" bestFit="1" customWidth="1"/>
    <col min="13826" max="13826" width="4.5703125" style="1" bestFit="1" customWidth="1"/>
    <col min="13827" max="13827" width="11.28515625" style="1" bestFit="1" customWidth="1"/>
    <col min="13828" max="13828" width="13.28515625" style="1" bestFit="1" customWidth="1"/>
    <col min="13829" max="13829" width="12.140625" style="1" bestFit="1" customWidth="1"/>
    <col min="13830" max="13830" width="14.5703125" style="1" customWidth="1"/>
    <col min="13831" max="13832" width="12.140625" style="1" bestFit="1" customWidth="1"/>
    <col min="13833" max="13833" width="11.85546875" style="1" bestFit="1" customWidth="1"/>
    <col min="13834" max="13834" width="12.140625" style="1" bestFit="1" customWidth="1"/>
    <col min="13835" max="13835" width="12" style="1" bestFit="1" customWidth="1"/>
    <col min="13836" max="13836" width="18.7109375" style="1" bestFit="1" customWidth="1"/>
    <col min="13837" max="14078" width="11.42578125" style="1"/>
    <col min="14079" max="14079" width="8.85546875" style="1" bestFit="1" customWidth="1"/>
    <col min="14080" max="14080" width="10.140625" style="1" bestFit="1" customWidth="1"/>
    <col min="14081" max="14081" width="12.140625" style="1" bestFit="1" customWidth="1"/>
    <col min="14082" max="14082" width="4.5703125" style="1" bestFit="1" customWidth="1"/>
    <col min="14083" max="14083" width="11.28515625" style="1" bestFit="1" customWidth="1"/>
    <col min="14084" max="14084" width="13.28515625" style="1" bestFit="1" customWidth="1"/>
    <col min="14085" max="14085" width="12.140625" style="1" bestFit="1" customWidth="1"/>
    <col min="14086" max="14086" width="14.5703125" style="1" customWidth="1"/>
    <col min="14087" max="14088" width="12.140625" style="1" bestFit="1" customWidth="1"/>
    <col min="14089" max="14089" width="11.85546875" style="1" bestFit="1" customWidth="1"/>
    <col min="14090" max="14090" width="12.140625" style="1" bestFit="1" customWidth="1"/>
    <col min="14091" max="14091" width="12" style="1" bestFit="1" customWidth="1"/>
    <col min="14092" max="14092" width="18.7109375" style="1" bestFit="1" customWidth="1"/>
    <col min="14093" max="14334" width="11.42578125" style="1"/>
    <col min="14335" max="14335" width="8.85546875" style="1" bestFit="1" customWidth="1"/>
    <col min="14336" max="14336" width="10.140625" style="1" bestFit="1" customWidth="1"/>
    <col min="14337" max="14337" width="12.140625" style="1" bestFit="1" customWidth="1"/>
    <col min="14338" max="14338" width="4.5703125" style="1" bestFit="1" customWidth="1"/>
    <col min="14339" max="14339" width="11.28515625" style="1" bestFit="1" customWidth="1"/>
    <col min="14340" max="14340" width="13.28515625" style="1" bestFit="1" customWidth="1"/>
    <col min="14341" max="14341" width="12.140625" style="1" bestFit="1" customWidth="1"/>
    <col min="14342" max="14342" width="14.5703125" style="1" customWidth="1"/>
    <col min="14343" max="14344" width="12.140625" style="1" bestFit="1" customWidth="1"/>
    <col min="14345" max="14345" width="11.85546875" style="1" bestFit="1" customWidth="1"/>
    <col min="14346" max="14346" width="12.140625" style="1" bestFit="1" customWidth="1"/>
    <col min="14347" max="14347" width="12" style="1" bestFit="1" customWidth="1"/>
    <col min="14348" max="14348" width="18.7109375" style="1" bestFit="1" customWidth="1"/>
    <col min="14349" max="14590" width="11.42578125" style="1"/>
    <col min="14591" max="14591" width="8.85546875" style="1" bestFit="1" customWidth="1"/>
    <col min="14592" max="14592" width="10.140625" style="1" bestFit="1" customWidth="1"/>
    <col min="14593" max="14593" width="12.140625" style="1" bestFit="1" customWidth="1"/>
    <col min="14594" max="14594" width="4.5703125" style="1" bestFit="1" customWidth="1"/>
    <col min="14595" max="14595" width="11.28515625" style="1" bestFit="1" customWidth="1"/>
    <col min="14596" max="14596" width="13.28515625" style="1" bestFit="1" customWidth="1"/>
    <col min="14597" max="14597" width="12.140625" style="1" bestFit="1" customWidth="1"/>
    <col min="14598" max="14598" width="14.5703125" style="1" customWidth="1"/>
    <col min="14599" max="14600" width="12.140625" style="1" bestFit="1" customWidth="1"/>
    <col min="14601" max="14601" width="11.85546875" style="1" bestFit="1" customWidth="1"/>
    <col min="14602" max="14602" width="12.140625" style="1" bestFit="1" customWidth="1"/>
    <col min="14603" max="14603" width="12" style="1" bestFit="1" customWidth="1"/>
    <col min="14604" max="14604" width="18.7109375" style="1" bestFit="1" customWidth="1"/>
    <col min="14605" max="14846" width="11.42578125" style="1"/>
    <col min="14847" max="14847" width="8.85546875" style="1" bestFit="1" customWidth="1"/>
    <col min="14848" max="14848" width="10.140625" style="1" bestFit="1" customWidth="1"/>
    <col min="14849" max="14849" width="12.140625" style="1" bestFit="1" customWidth="1"/>
    <col min="14850" max="14850" width="4.5703125" style="1" bestFit="1" customWidth="1"/>
    <col min="14851" max="14851" width="11.28515625" style="1" bestFit="1" customWidth="1"/>
    <col min="14852" max="14852" width="13.28515625" style="1" bestFit="1" customWidth="1"/>
    <col min="14853" max="14853" width="12.140625" style="1" bestFit="1" customWidth="1"/>
    <col min="14854" max="14854" width="14.5703125" style="1" customWidth="1"/>
    <col min="14855" max="14856" width="12.140625" style="1" bestFit="1" customWidth="1"/>
    <col min="14857" max="14857" width="11.85546875" style="1" bestFit="1" customWidth="1"/>
    <col min="14858" max="14858" width="12.140625" style="1" bestFit="1" customWidth="1"/>
    <col min="14859" max="14859" width="12" style="1" bestFit="1" customWidth="1"/>
    <col min="14860" max="14860" width="18.7109375" style="1" bestFit="1" customWidth="1"/>
    <col min="14861" max="15102" width="11.42578125" style="1"/>
    <col min="15103" max="15103" width="8.85546875" style="1" bestFit="1" customWidth="1"/>
    <col min="15104" max="15104" width="10.140625" style="1" bestFit="1" customWidth="1"/>
    <col min="15105" max="15105" width="12.140625" style="1" bestFit="1" customWidth="1"/>
    <col min="15106" max="15106" width="4.5703125" style="1" bestFit="1" customWidth="1"/>
    <col min="15107" max="15107" width="11.28515625" style="1" bestFit="1" customWidth="1"/>
    <col min="15108" max="15108" width="13.28515625" style="1" bestFit="1" customWidth="1"/>
    <col min="15109" max="15109" width="12.140625" style="1" bestFit="1" customWidth="1"/>
    <col min="15110" max="15110" width="14.5703125" style="1" customWidth="1"/>
    <col min="15111" max="15112" width="12.140625" style="1" bestFit="1" customWidth="1"/>
    <col min="15113" max="15113" width="11.85546875" style="1" bestFit="1" customWidth="1"/>
    <col min="15114" max="15114" width="12.140625" style="1" bestFit="1" customWidth="1"/>
    <col min="15115" max="15115" width="12" style="1" bestFit="1" customWidth="1"/>
    <col min="15116" max="15116" width="18.7109375" style="1" bestFit="1" customWidth="1"/>
    <col min="15117" max="15358" width="11.42578125" style="1"/>
    <col min="15359" max="15359" width="8.85546875" style="1" bestFit="1" customWidth="1"/>
    <col min="15360" max="15360" width="10.140625" style="1" bestFit="1" customWidth="1"/>
    <col min="15361" max="15361" width="12.140625" style="1" bestFit="1" customWidth="1"/>
    <col min="15362" max="15362" width="4.5703125" style="1" bestFit="1" customWidth="1"/>
    <col min="15363" max="15363" width="11.28515625" style="1" bestFit="1" customWidth="1"/>
    <col min="15364" max="15364" width="13.28515625" style="1" bestFit="1" customWidth="1"/>
    <col min="15365" max="15365" width="12.140625" style="1" bestFit="1" customWidth="1"/>
    <col min="15366" max="15366" width="14.5703125" style="1" customWidth="1"/>
    <col min="15367" max="15368" width="12.140625" style="1" bestFit="1" customWidth="1"/>
    <col min="15369" max="15369" width="11.85546875" style="1" bestFit="1" customWidth="1"/>
    <col min="15370" max="15370" width="12.140625" style="1" bestFit="1" customWidth="1"/>
    <col min="15371" max="15371" width="12" style="1" bestFit="1" customWidth="1"/>
    <col min="15372" max="15372" width="18.7109375" style="1" bestFit="1" customWidth="1"/>
    <col min="15373" max="15614" width="11.42578125" style="1"/>
    <col min="15615" max="15615" width="8.85546875" style="1" bestFit="1" customWidth="1"/>
    <col min="15616" max="15616" width="10.140625" style="1" bestFit="1" customWidth="1"/>
    <col min="15617" max="15617" width="12.140625" style="1" bestFit="1" customWidth="1"/>
    <col min="15618" max="15618" width="4.5703125" style="1" bestFit="1" customWidth="1"/>
    <col min="15619" max="15619" width="11.28515625" style="1" bestFit="1" customWidth="1"/>
    <col min="15620" max="15620" width="13.28515625" style="1" bestFit="1" customWidth="1"/>
    <col min="15621" max="15621" width="12.140625" style="1" bestFit="1" customWidth="1"/>
    <col min="15622" max="15622" width="14.5703125" style="1" customWidth="1"/>
    <col min="15623" max="15624" width="12.140625" style="1" bestFit="1" customWidth="1"/>
    <col min="15625" max="15625" width="11.85546875" style="1" bestFit="1" customWidth="1"/>
    <col min="15626" max="15626" width="12.140625" style="1" bestFit="1" customWidth="1"/>
    <col min="15627" max="15627" width="12" style="1" bestFit="1" customWidth="1"/>
    <col min="15628" max="15628" width="18.7109375" style="1" bestFit="1" customWidth="1"/>
    <col min="15629" max="15870" width="11.42578125" style="1"/>
    <col min="15871" max="15871" width="8.85546875" style="1" bestFit="1" customWidth="1"/>
    <col min="15872" max="15872" width="10.140625" style="1" bestFit="1" customWidth="1"/>
    <col min="15873" max="15873" width="12.140625" style="1" bestFit="1" customWidth="1"/>
    <col min="15874" max="15874" width="4.5703125" style="1" bestFit="1" customWidth="1"/>
    <col min="15875" max="15875" width="11.28515625" style="1" bestFit="1" customWidth="1"/>
    <col min="15876" max="15876" width="13.28515625" style="1" bestFit="1" customWidth="1"/>
    <col min="15877" max="15877" width="12.140625" style="1" bestFit="1" customWidth="1"/>
    <col min="15878" max="15878" width="14.5703125" style="1" customWidth="1"/>
    <col min="15879" max="15880" width="12.140625" style="1" bestFit="1" customWidth="1"/>
    <col min="15881" max="15881" width="11.85546875" style="1" bestFit="1" customWidth="1"/>
    <col min="15882" max="15882" width="12.140625" style="1" bestFit="1" customWidth="1"/>
    <col min="15883" max="15883" width="12" style="1" bestFit="1" customWidth="1"/>
    <col min="15884" max="15884" width="18.7109375" style="1" bestFit="1" customWidth="1"/>
    <col min="15885" max="16126" width="11.42578125" style="1"/>
    <col min="16127" max="16127" width="8.85546875" style="1" bestFit="1" customWidth="1"/>
    <col min="16128" max="16128" width="10.140625" style="1" bestFit="1" customWidth="1"/>
    <col min="16129" max="16129" width="12.140625" style="1" bestFit="1" customWidth="1"/>
    <col min="16130" max="16130" width="4.5703125" style="1" bestFit="1" customWidth="1"/>
    <col min="16131" max="16131" width="11.28515625" style="1" bestFit="1" customWidth="1"/>
    <col min="16132" max="16132" width="13.28515625" style="1" bestFit="1" customWidth="1"/>
    <col min="16133" max="16133" width="12.140625" style="1" bestFit="1" customWidth="1"/>
    <col min="16134" max="16134" width="14.5703125" style="1" customWidth="1"/>
    <col min="16135" max="16136" width="12.140625" style="1" bestFit="1" customWidth="1"/>
    <col min="16137" max="16137" width="11.85546875" style="1" bestFit="1" customWidth="1"/>
    <col min="16138" max="16138" width="12.140625" style="1" bestFit="1" customWidth="1"/>
    <col min="16139" max="16139" width="12" style="1" bestFit="1" customWidth="1"/>
    <col min="16140" max="16140" width="18.7109375" style="1" bestFit="1" customWidth="1"/>
    <col min="16141" max="16384" width="11.42578125" style="1"/>
  </cols>
  <sheetData>
    <row r="1" spans="1:16" ht="13.5" thickBot="1" x14ac:dyDescent="0.25"/>
    <row r="2" spans="1:16" ht="13.5" thickBot="1" x14ac:dyDescent="0.25">
      <c r="A2" s="673" t="s">
        <v>0</v>
      </c>
      <c r="B2" s="674" t="s">
        <v>1</v>
      </c>
      <c r="C2" s="674"/>
      <c r="D2" s="674"/>
      <c r="E2" s="674"/>
      <c r="F2" s="674"/>
      <c r="G2" s="674"/>
      <c r="H2" s="675" t="s">
        <v>2</v>
      </c>
      <c r="I2" s="675"/>
      <c r="J2" s="675"/>
      <c r="K2" s="675" t="s">
        <v>3</v>
      </c>
      <c r="L2" s="675"/>
      <c r="M2" s="673" t="s">
        <v>4</v>
      </c>
    </row>
    <row r="3" spans="1:16" ht="13.5" thickBot="1" x14ac:dyDescent="0.25">
      <c r="A3" s="673"/>
      <c r="B3" s="266" t="s">
        <v>5</v>
      </c>
      <c r="C3" s="266" t="s">
        <v>6</v>
      </c>
      <c r="D3" s="266" t="s">
        <v>7</v>
      </c>
      <c r="E3" s="3" t="s">
        <v>8</v>
      </c>
      <c r="F3" s="2" t="s">
        <v>9</v>
      </c>
      <c r="G3" s="267" t="s">
        <v>10</v>
      </c>
      <c r="H3" s="2" t="s">
        <v>11</v>
      </c>
      <c r="I3" s="266" t="s">
        <v>12</v>
      </c>
      <c r="J3" s="267" t="s">
        <v>13</v>
      </c>
      <c r="K3" s="3" t="s">
        <v>11</v>
      </c>
      <c r="L3" s="267" t="s">
        <v>14</v>
      </c>
      <c r="M3" s="673"/>
    </row>
    <row r="4" spans="1:16" s="84" customFormat="1" x14ac:dyDescent="0.2">
      <c r="A4" s="268" t="s">
        <v>17</v>
      </c>
      <c r="B4" s="269" t="s">
        <v>108</v>
      </c>
      <c r="C4" s="270">
        <v>43164</v>
      </c>
      <c r="D4" s="271" t="s">
        <v>18</v>
      </c>
      <c r="E4" s="272">
        <v>35971.199999999997</v>
      </c>
      <c r="F4" s="273">
        <f>+E4*2.38585</f>
        <v>85821.887519999989</v>
      </c>
      <c r="G4" s="274">
        <f>+C4+120</f>
        <v>43284</v>
      </c>
      <c r="H4" s="275"/>
      <c r="I4" s="270"/>
      <c r="J4" s="274"/>
      <c r="K4" s="276">
        <f>5174.34+49985-20400</f>
        <v>34759.339999999997</v>
      </c>
      <c r="L4" s="277"/>
      <c r="M4" s="278">
        <f>+E4-K4</f>
        <v>1211.8600000000006</v>
      </c>
      <c r="N4" s="72"/>
      <c r="O4" s="72"/>
      <c r="P4" s="72"/>
    </row>
    <row r="5" spans="1:16" s="84" customFormat="1" ht="13.5" thickBot="1" x14ac:dyDescent="0.25">
      <c r="A5" s="279"/>
      <c r="B5" s="280"/>
      <c r="C5" s="281"/>
      <c r="D5" s="282"/>
      <c r="E5" s="283"/>
      <c r="F5" s="284"/>
      <c r="G5" s="285"/>
      <c r="H5" s="286"/>
      <c r="I5" s="281"/>
      <c r="J5" s="285"/>
      <c r="K5" s="287"/>
      <c r="L5" s="288"/>
      <c r="M5" s="289"/>
      <c r="N5" s="72"/>
      <c r="O5" s="72"/>
      <c r="P5" s="72"/>
    </row>
    <row r="6" spans="1:16" s="84" customFormat="1" ht="13.5" thickBot="1" x14ac:dyDescent="0.25">
      <c r="A6" s="290"/>
      <c r="B6" s="290"/>
      <c r="C6" s="291"/>
      <c r="D6" s="290"/>
      <c r="E6" s="292"/>
      <c r="F6" s="293"/>
      <c r="G6" s="291"/>
      <c r="H6" s="293"/>
      <c r="I6" s="291"/>
      <c r="J6" s="291"/>
      <c r="K6" s="292"/>
      <c r="L6" s="290"/>
      <c r="M6" s="252"/>
      <c r="N6" s="72"/>
      <c r="O6" s="72"/>
      <c r="P6" s="72"/>
    </row>
    <row r="7" spans="1:16" ht="13.5" thickBot="1" x14ac:dyDescent="0.25">
      <c r="A7" s="676" t="s">
        <v>0</v>
      </c>
      <c r="B7" s="674" t="s">
        <v>1</v>
      </c>
      <c r="C7" s="674"/>
      <c r="D7" s="674"/>
      <c r="E7" s="674"/>
      <c r="F7" s="674"/>
      <c r="G7" s="674"/>
      <c r="H7" s="675" t="s">
        <v>2</v>
      </c>
      <c r="I7" s="675"/>
      <c r="J7" s="675"/>
      <c r="K7" s="675" t="s">
        <v>3</v>
      </c>
      <c r="L7" s="675"/>
      <c r="M7" s="676" t="s">
        <v>4</v>
      </c>
    </row>
    <row r="8" spans="1:16" ht="13.5" thickBot="1" x14ac:dyDescent="0.25">
      <c r="A8" s="677"/>
      <c r="B8" s="266" t="s">
        <v>5</v>
      </c>
      <c r="C8" s="266" t="s">
        <v>6</v>
      </c>
      <c r="D8" s="266" t="s">
        <v>7</v>
      </c>
      <c r="E8" s="3" t="s">
        <v>8</v>
      </c>
      <c r="F8" s="2" t="s">
        <v>9</v>
      </c>
      <c r="G8" s="267" t="s">
        <v>10</v>
      </c>
      <c r="H8" s="2" t="s">
        <v>11</v>
      </c>
      <c r="I8" s="266" t="s">
        <v>12</v>
      </c>
      <c r="J8" s="267" t="s">
        <v>13</v>
      </c>
      <c r="K8" s="3" t="s">
        <v>11</v>
      </c>
      <c r="L8" s="4" t="s">
        <v>14</v>
      </c>
      <c r="M8" s="677"/>
    </row>
    <row r="9" spans="1:16" x14ac:dyDescent="0.2">
      <c r="A9" s="15" t="s">
        <v>17</v>
      </c>
      <c r="B9" s="304" t="s">
        <v>21</v>
      </c>
      <c r="C9" s="305">
        <v>40680</v>
      </c>
      <c r="D9" s="308" t="s">
        <v>16</v>
      </c>
      <c r="E9" s="306">
        <v>5190.95</v>
      </c>
      <c r="F9" s="307">
        <f>+E9*1.95835</f>
        <v>10165.696932499999</v>
      </c>
      <c r="G9" s="263">
        <f>+C9+90</f>
        <v>40770</v>
      </c>
      <c r="H9" s="19"/>
      <c r="I9" s="17"/>
      <c r="J9" s="18"/>
      <c r="K9" s="20"/>
      <c r="L9" s="21"/>
      <c r="M9" s="22">
        <f>+E9-K9</f>
        <v>5190.95</v>
      </c>
    </row>
    <row r="10" spans="1:16" x14ac:dyDescent="0.2">
      <c r="A10" s="106" t="s">
        <v>20</v>
      </c>
      <c r="B10" s="87" t="s">
        <v>84</v>
      </c>
      <c r="C10" s="107">
        <v>42703</v>
      </c>
      <c r="D10" s="108" t="s">
        <v>18</v>
      </c>
      <c r="E10" s="109">
        <v>60082</v>
      </c>
      <c r="F10" s="88">
        <f>+E10*2.2879</f>
        <v>137461.6078</v>
      </c>
      <c r="G10" s="264">
        <f>+C10+90</f>
        <v>42793</v>
      </c>
      <c r="H10" s="111"/>
      <c r="I10" s="108"/>
      <c r="J10" s="110"/>
      <c r="K10" s="112"/>
      <c r="L10" s="113"/>
      <c r="M10" s="114">
        <f>E10-K10</f>
        <v>60082</v>
      </c>
    </row>
    <row r="11" spans="1:16" x14ac:dyDescent="0.2">
      <c r="A11" s="106" t="s">
        <v>15</v>
      </c>
      <c r="B11" s="87" t="s">
        <v>90</v>
      </c>
      <c r="C11" s="107">
        <v>42906</v>
      </c>
      <c r="D11" s="108" t="s">
        <v>16</v>
      </c>
      <c r="E11" s="109">
        <v>52992.7</v>
      </c>
      <c r="F11" s="88">
        <f>+E11*2.7377</f>
        <v>145078.11478999999</v>
      </c>
      <c r="G11" s="264">
        <f t="shared" ref="G11:G16" si="0">+C11+60</f>
        <v>42966</v>
      </c>
      <c r="H11" s="111"/>
      <c r="I11" s="108"/>
      <c r="J11" s="110"/>
      <c r="K11" s="112">
        <f>7976.5+6976.5+6948.75</f>
        <v>21901.75</v>
      </c>
      <c r="L11" s="113"/>
      <c r="M11" s="114">
        <f>E11-K11</f>
        <v>31090.949999999997</v>
      </c>
    </row>
    <row r="12" spans="1:16" x14ac:dyDescent="0.2">
      <c r="A12" s="106" t="s">
        <v>15</v>
      </c>
      <c r="B12" s="87" t="s">
        <v>102</v>
      </c>
      <c r="C12" s="107">
        <v>43075</v>
      </c>
      <c r="D12" s="108" t="s">
        <v>16</v>
      </c>
      <c r="E12" s="109">
        <v>14634.52</v>
      </c>
      <c r="F12" s="88">
        <f>+E12*2.9164</f>
        <v>42680.114128000001</v>
      </c>
      <c r="G12" s="264">
        <f t="shared" si="0"/>
        <v>43135</v>
      </c>
      <c r="H12" s="111"/>
      <c r="I12" s="108"/>
      <c r="J12" s="110"/>
      <c r="K12" s="112"/>
      <c r="L12" s="113"/>
      <c r="M12" s="114">
        <f>E12-K12</f>
        <v>14634.52</v>
      </c>
    </row>
    <row r="13" spans="1:16" x14ac:dyDescent="0.2">
      <c r="A13" s="106" t="s">
        <v>103</v>
      </c>
      <c r="B13" s="87" t="s">
        <v>104</v>
      </c>
      <c r="C13" s="107">
        <v>43147</v>
      </c>
      <c r="D13" s="108" t="s">
        <v>16</v>
      </c>
      <c r="E13" s="109">
        <v>73120.639999999999</v>
      </c>
      <c r="F13" s="88">
        <f>+E13*2.9473</f>
        <v>215508.46227199998</v>
      </c>
      <c r="G13" s="264">
        <f t="shared" si="0"/>
        <v>43207</v>
      </c>
      <c r="H13" s="111"/>
      <c r="I13" s="108"/>
      <c r="J13" s="110"/>
      <c r="K13" s="112">
        <f>40000+30000</f>
        <v>70000</v>
      </c>
      <c r="L13" s="113"/>
      <c r="M13" s="114">
        <f>E13-K13</f>
        <v>3120.6399999999994</v>
      </c>
    </row>
    <row r="14" spans="1:16" x14ac:dyDescent="0.2">
      <c r="A14" s="106" t="s">
        <v>331</v>
      </c>
      <c r="B14" s="87" t="s">
        <v>350</v>
      </c>
      <c r="C14" s="107">
        <v>43496</v>
      </c>
      <c r="D14" s="108" t="s">
        <v>16</v>
      </c>
      <c r="E14" s="109">
        <v>50227.199999999997</v>
      </c>
      <c r="F14" s="88">
        <f>+E14*3.44525</f>
        <v>173045.26079999999</v>
      </c>
      <c r="G14" s="264">
        <f t="shared" si="0"/>
        <v>43556</v>
      </c>
      <c r="H14" s="111"/>
      <c r="I14" s="108"/>
      <c r="J14" s="110"/>
      <c r="K14" s="112">
        <f>8000+15000</f>
        <v>23000</v>
      </c>
      <c r="L14" s="113"/>
      <c r="M14" s="114">
        <f t="shared" ref="M14:M57" si="1">E14-K14</f>
        <v>27227.199999999997</v>
      </c>
    </row>
    <row r="15" spans="1:16" x14ac:dyDescent="0.2">
      <c r="A15" s="106" t="s">
        <v>15</v>
      </c>
      <c r="B15" s="87" t="s">
        <v>347</v>
      </c>
      <c r="C15" s="107">
        <v>43542</v>
      </c>
      <c r="D15" s="108" t="s">
        <v>16</v>
      </c>
      <c r="E15" s="109">
        <v>60422.38</v>
      </c>
      <c r="F15" s="88">
        <f>+E15*3.39645</f>
        <v>205221.59255100001</v>
      </c>
      <c r="G15" s="264">
        <f t="shared" si="0"/>
        <v>43602</v>
      </c>
      <c r="H15" s="111"/>
      <c r="I15" s="108"/>
      <c r="J15" s="110"/>
      <c r="K15" s="112">
        <f>18116+11241.38+5000+6500</f>
        <v>40857.379999999997</v>
      </c>
      <c r="L15" s="113"/>
      <c r="M15" s="114">
        <f t="shared" si="1"/>
        <v>19565</v>
      </c>
    </row>
    <row r="16" spans="1:16" x14ac:dyDescent="0.2">
      <c r="A16" s="106" t="s">
        <v>19</v>
      </c>
      <c r="B16" s="87" t="s">
        <v>366</v>
      </c>
      <c r="C16" s="107">
        <v>43650</v>
      </c>
      <c r="D16" s="108" t="s">
        <v>16</v>
      </c>
      <c r="E16" s="109">
        <v>80487.839999999997</v>
      </c>
      <c r="F16" s="88">
        <f>+E16*3.2573</f>
        <v>262173.04123199999</v>
      </c>
      <c r="G16" s="264">
        <f t="shared" si="0"/>
        <v>43710</v>
      </c>
      <c r="H16" s="111"/>
      <c r="I16" s="108"/>
      <c r="J16" s="110"/>
      <c r="K16" s="112">
        <f>17160.49+23220.56</f>
        <v>40381.050000000003</v>
      </c>
      <c r="L16" s="113"/>
      <c r="M16" s="630">
        <f t="shared" si="1"/>
        <v>40106.789999999994</v>
      </c>
    </row>
    <row r="17" spans="1:18" x14ac:dyDescent="0.2">
      <c r="A17" s="106" t="s">
        <v>336</v>
      </c>
      <c r="B17" s="87" t="s">
        <v>376</v>
      </c>
      <c r="C17" s="107">
        <v>43721</v>
      </c>
      <c r="D17" s="108" t="s">
        <v>16</v>
      </c>
      <c r="E17" s="109">
        <v>55220.26</v>
      </c>
      <c r="F17" s="88">
        <f>+E17*3.16425</f>
        <v>174730.70770500001</v>
      </c>
      <c r="G17" s="264">
        <f t="shared" ref="G17:G44" si="2">+C17+60</f>
        <v>43781</v>
      </c>
      <c r="H17" s="111"/>
      <c r="I17" s="108"/>
      <c r="J17" s="110"/>
      <c r="K17" s="112">
        <f>14980-3241.88+18080.51+4985</f>
        <v>34803.629999999997</v>
      </c>
      <c r="L17" s="113"/>
      <c r="M17" s="114">
        <f t="shared" si="1"/>
        <v>20416.630000000005</v>
      </c>
    </row>
    <row r="18" spans="1:18" x14ac:dyDescent="0.2">
      <c r="A18" s="106" t="s">
        <v>336</v>
      </c>
      <c r="B18" s="87" t="s">
        <v>387</v>
      </c>
      <c r="C18" s="107">
        <v>43767</v>
      </c>
      <c r="D18" s="108" t="s">
        <v>16</v>
      </c>
      <c r="E18" s="109">
        <v>59886.98</v>
      </c>
      <c r="F18" s="88">
        <f>+E18*3.1485</f>
        <v>188554.15653000001</v>
      </c>
      <c r="G18" s="264">
        <f t="shared" si="2"/>
        <v>43827</v>
      </c>
      <c r="H18" s="111"/>
      <c r="I18" s="108"/>
      <c r="J18" s="110"/>
      <c r="K18" s="112"/>
      <c r="L18" s="113"/>
      <c r="M18" s="114">
        <f t="shared" si="1"/>
        <v>59886.98</v>
      </c>
    </row>
    <row r="19" spans="1:18" x14ac:dyDescent="0.2">
      <c r="A19" s="106" t="s">
        <v>19</v>
      </c>
      <c r="B19" s="87" t="s">
        <v>400</v>
      </c>
      <c r="C19" s="107">
        <v>43808</v>
      </c>
      <c r="D19" s="108" t="s">
        <v>16</v>
      </c>
      <c r="E19" s="109">
        <v>72000.600000000006</v>
      </c>
      <c r="F19" s="88">
        <f>E19*3.17075</f>
        <v>228295.90245000002</v>
      </c>
      <c r="G19" s="264">
        <f t="shared" si="2"/>
        <v>43868</v>
      </c>
      <c r="H19" s="111"/>
      <c r="I19" s="108"/>
      <c r="J19" s="110"/>
      <c r="K19" s="112"/>
      <c r="L19" s="113"/>
      <c r="M19" s="630">
        <f t="shared" si="1"/>
        <v>72000.600000000006</v>
      </c>
    </row>
    <row r="20" spans="1:18" x14ac:dyDescent="0.2">
      <c r="A20" s="106" t="s">
        <v>19</v>
      </c>
      <c r="B20" s="87" t="s">
        <v>408</v>
      </c>
      <c r="C20" s="107">
        <v>43820</v>
      </c>
      <c r="D20" s="108" t="s">
        <v>16</v>
      </c>
      <c r="E20" s="109">
        <v>69278.3</v>
      </c>
      <c r="F20" s="88">
        <f>+E20*3.1659</f>
        <v>219328.16997000002</v>
      </c>
      <c r="G20" s="264">
        <f t="shared" si="2"/>
        <v>43880</v>
      </c>
      <c r="H20" s="111"/>
      <c r="I20" s="108"/>
      <c r="J20" s="110"/>
      <c r="K20" s="112">
        <v>54606.25</v>
      </c>
      <c r="L20" s="113"/>
      <c r="M20" s="630">
        <f t="shared" si="1"/>
        <v>14672.050000000003</v>
      </c>
    </row>
    <row r="21" spans="1:18" hidden="1" x14ac:dyDescent="0.2">
      <c r="A21" s="561" t="s">
        <v>19</v>
      </c>
      <c r="B21" s="562" t="s">
        <v>452</v>
      </c>
      <c r="C21" s="563">
        <v>43955</v>
      </c>
      <c r="D21" s="564" t="s">
        <v>16</v>
      </c>
      <c r="E21" s="565">
        <v>168227.20000000001</v>
      </c>
      <c r="F21" s="566">
        <f>+E21*3.1521</f>
        <v>530268.95712000004</v>
      </c>
      <c r="G21" s="567">
        <f t="shared" si="2"/>
        <v>44015</v>
      </c>
      <c r="H21" s="568"/>
      <c r="I21" s="564"/>
      <c r="J21" s="569"/>
      <c r="K21" s="570">
        <f>168000+227.2</f>
        <v>168227.20000000001</v>
      </c>
      <c r="L21" s="573"/>
      <c r="M21" s="571">
        <f t="shared" si="1"/>
        <v>0</v>
      </c>
    </row>
    <row r="22" spans="1:18" hidden="1" x14ac:dyDescent="0.2">
      <c r="A22" s="561" t="s">
        <v>106</v>
      </c>
      <c r="B22" s="562" t="s">
        <v>453</v>
      </c>
      <c r="C22" s="563">
        <v>43970</v>
      </c>
      <c r="D22" s="564" t="s">
        <v>16</v>
      </c>
      <c r="E22" s="565">
        <v>15734.26</v>
      </c>
      <c r="F22" s="566">
        <f>E22*3.16385</f>
        <v>49780.838500999998</v>
      </c>
      <c r="G22" s="567">
        <f t="shared" si="2"/>
        <v>44030</v>
      </c>
      <c r="H22" s="568"/>
      <c r="I22" s="564"/>
      <c r="J22" s="569"/>
      <c r="K22" s="570">
        <f>16027.1-13984.3+13691.46</f>
        <v>15734.26</v>
      </c>
      <c r="L22" s="573"/>
      <c r="M22" s="571">
        <f t="shared" si="1"/>
        <v>0</v>
      </c>
    </row>
    <row r="23" spans="1:18" hidden="1" x14ac:dyDescent="0.2">
      <c r="A23" s="561" t="s">
        <v>106</v>
      </c>
      <c r="B23" s="562" t="s">
        <v>507</v>
      </c>
      <c r="C23" s="563">
        <v>44012</v>
      </c>
      <c r="D23" s="564" t="s">
        <v>16</v>
      </c>
      <c r="E23" s="565">
        <v>15834.73</v>
      </c>
      <c r="F23" s="566">
        <f>+E23*3.20945</f>
        <v>50820.774198499996</v>
      </c>
      <c r="G23" s="567">
        <f t="shared" si="2"/>
        <v>44072</v>
      </c>
      <c r="H23" s="568"/>
      <c r="I23" s="564"/>
      <c r="J23" s="569"/>
      <c r="K23" s="570">
        <f>14010.96-13691.46+3000+5000+5985+1530.23</f>
        <v>15834.73</v>
      </c>
      <c r="L23" s="573"/>
      <c r="M23" s="571">
        <f t="shared" si="1"/>
        <v>0</v>
      </c>
    </row>
    <row r="24" spans="1:18" hidden="1" x14ac:dyDescent="0.2">
      <c r="A24" s="561" t="s">
        <v>106</v>
      </c>
      <c r="B24" s="562" t="s">
        <v>548</v>
      </c>
      <c r="C24" s="563">
        <v>44036</v>
      </c>
      <c r="D24" s="564" t="s">
        <v>16</v>
      </c>
      <c r="E24" s="565">
        <v>12626.18</v>
      </c>
      <c r="F24" s="566">
        <f>+E24*3.22895</f>
        <v>40769.303911000003</v>
      </c>
      <c r="G24" s="567">
        <f t="shared" si="2"/>
        <v>44096</v>
      </c>
      <c r="H24" s="568"/>
      <c r="I24" s="564"/>
      <c r="J24" s="569"/>
      <c r="K24" s="570">
        <f>10062.44+2563.74</f>
        <v>12626.18</v>
      </c>
      <c r="L24" s="573"/>
      <c r="M24" s="571">
        <f t="shared" si="1"/>
        <v>0</v>
      </c>
      <c r="R24" s="198"/>
    </row>
    <row r="25" spans="1:18" hidden="1" x14ac:dyDescent="0.2">
      <c r="A25" s="561" t="s">
        <v>106</v>
      </c>
      <c r="B25" s="562" t="s">
        <v>559</v>
      </c>
      <c r="C25" s="563">
        <v>44050</v>
      </c>
      <c r="D25" s="564" t="s">
        <v>16</v>
      </c>
      <c r="E25" s="565">
        <v>22494.77</v>
      </c>
      <c r="F25" s="566">
        <f>+E25*3.23755</f>
        <v>72827.94261350001</v>
      </c>
      <c r="G25" s="567">
        <f t="shared" si="2"/>
        <v>44110</v>
      </c>
      <c r="H25" s="568"/>
      <c r="I25" s="564"/>
      <c r="J25" s="569"/>
      <c r="K25" s="570">
        <f>4370.53+7668.83+10455.41</f>
        <v>22494.77</v>
      </c>
      <c r="L25" s="569"/>
      <c r="M25" s="571">
        <f t="shared" si="1"/>
        <v>0</v>
      </c>
    </row>
    <row r="26" spans="1:18" hidden="1" x14ac:dyDescent="0.2">
      <c r="A26" s="561" t="s">
        <v>106</v>
      </c>
      <c r="B26" s="562" t="s">
        <v>578</v>
      </c>
      <c r="C26" s="563">
        <v>44070</v>
      </c>
      <c r="D26" s="564" t="s">
        <v>16</v>
      </c>
      <c r="E26" s="565">
        <v>11215.72</v>
      </c>
      <c r="F26" s="566">
        <f>+E26*3.24325</f>
        <v>36375.383889999997</v>
      </c>
      <c r="G26" s="567">
        <f t="shared" si="2"/>
        <v>44130</v>
      </c>
      <c r="H26" s="568"/>
      <c r="I26" s="564"/>
      <c r="J26" s="569"/>
      <c r="K26" s="570">
        <v>11215.72</v>
      </c>
      <c r="L26" s="569"/>
      <c r="M26" s="571">
        <f t="shared" si="1"/>
        <v>0</v>
      </c>
    </row>
    <row r="27" spans="1:18" hidden="1" x14ac:dyDescent="0.2">
      <c r="A27" s="561" t="s">
        <v>106</v>
      </c>
      <c r="B27" s="562" t="s">
        <v>599</v>
      </c>
      <c r="C27" s="563">
        <v>44077</v>
      </c>
      <c r="D27" s="564" t="s">
        <v>16</v>
      </c>
      <c r="E27" s="565">
        <v>12083.83</v>
      </c>
      <c r="F27" s="566">
        <f>+E27*3.24375</f>
        <v>39196.9235625</v>
      </c>
      <c r="G27" s="567">
        <f t="shared" si="2"/>
        <v>44137</v>
      </c>
      <c r="H27" s="568"/>
      <c r="I27" s="564"/>
      <c r="J27" s="569"/>
      <c r="K27" s="570">
        <v>12083.83</v>
      </c>
      <c r="L27" s="569"/>
      <c r="M27" s="571">
        <f t="shared" si="1"/>
        <v>0</v>
      </c>
    </row>
    <row r="28" spans="1:18" x14ac:dyDescent="0.2">
      <c r="A28" s="106" t="s">
        <v>336</v>
      </c>
      <c r="B28" s="87" t="s">
        <v>624</v>
      </c>
      <c r="C28" s="107">
        <v>44083</v>
      </c>
      <c r="D28" s="108" t="s">
        <v>16</v>
      </c>
      <c r="E28" s="109">
        <f>44987.48+46877.59</f>
        <v>91865.07</v>
      </c>
      <c r="F28" s="88">
        <f>+E28*3.25895</f>
        <v>299383.66987650003</v>
      </c>
      <c r="G28" s="264">
        <f t="shared" si="2"/>
        <v>44143</v>
      </c>
      <c r="H28" s="111"/>
      <c r="I28" s="108"/>
      <c r="J28" s="110"/>
      <c r="K28" s="112">
        <f>27706.53+9970+9970+9970+9970+9970+4976.5+4953</f>
        <v>87486.03</v>
      </c>
      <c r="L28" s="110"/>
      <c r="M28" s="114">
        <f t="shared" si="1"/>
        <v>4379.0400000000081</v>
      </c>
    </row>
    <row r="29" spans="1:18" hidden="1" x14ac:dyDescent="0.2">
      <c r="A29" s="561" t="s">
        <v>19</v>
      </c>
      <c r="B29" s="562" t="s">
        <v>625</v>
      </c>
      <c r="C29" s="563">
        <v>44090</v>
      </c>
      <c r="D29" s="564" t="s">
        <v>16</v>
      </c>
      <c r="E29" s="565">
        <v>81646.899999999994</v>
      </c>
      <c r="F29" s="566">
        <f>+E29*3.25965</f>
        <v>266140.31758500001</v>
      </c>
      <c r="G29" s="567">
        <f t="shared" si="2"/>
        <v>44150</v>
      </c>
      <c r="H29" s="568"/>
      <c r="I29" s="564"/>
      <c r="J29" s="569"/>
      <c r="K29" s="570">
        <f>47799.42+33847.48</f>
        <v>81646.899999999994</v>
      </c>
      <c r="L29" s="569"/>
      <c r="M29" s="571">
        <f t="shared" si="1"/>
        <v>0</v>
      </c>
      <c r="N29" s="560"/>
      <c r="Q29" s="198"/>
    </row>
    <row r="30" spans="1:18" hidden="1" x14ac:dyDescent="0.2">
      <c r="A30" s="561" t="s">
        <v>106</v>
      </c>
      <c r="B30" s="562" t="s">
        <v>635</v>
      </c>
      <c r="C30" s="563">
        <v>44096</v>
      </c>
      <c r="D30" s="564" t="s">
        <v>16</v>
      </c>
      <c r="E30" s="565">
        <v>15922.43</v>
      </c>
      <c r="F30" s="566">
        <f>+E30*3.2507</f>
        <v>51759.043201</v>
      </c>
      <c r="G30" s="567">
        <f t="shared" si="2"/>
        <v>44156</v>
      </c>
      <c r="H30" s="568"/>
      <c r="I30" s="564"/>
      <c r="J30" s="569"/>
      <c r="K30" s="570">
        <v>15922.43</v>
      </c>
      <c r="L30" s="569"/>
      <c r="M30" s="571">
        <f t="shared" si="1"/>
        <v>0</v>
      </c>
    </row>
    <row r="31" spans="1:18" x14ac:dyDescent="0.2">
      <c r="A31" s="106" t="s">
        <v>106</v>
      </c>
      <c r="B31" s="87" t="s">
        <v>646</v>
      </c>
      <c r="C31" s="107">
        <v>44109</v>
      </c>
      <c r="D31" s="108" t="s">
        <v>16</v>
      </c>
      <c r="E31" s="109">
        <v>16380.5</v>
      </c>
      <c r="F31" s="88">
        <f>+E31*3.2461</f>
        <v>53172.741050000004</v>
      </c>
      <c r="G31" s="264">
        <f t="shared" si="2"/>
        <v>44169</v>
      </c>
      <c r="H31" s="111"/>
      <c r="I31" s="108"/>
      <c r="J31" s="110"/>
      <c r="K31" s="112">
        <f>9428.61+2000+3000</f>
        <v>14428.61</v>
      </c>
      <c r="L31" s="110"/>
      <c r="M31" s="114">
        <f t="shared" si="1"/>
        <v>1951.8899999999994</v>
      </c>
      <c r="O31" s="76"/>
    </row>
    <row r="32" spans="1:18" x14ac:dyDescent="0.2">
      <c r="A32" s="106" t="s">
        <v>106</v>
      </c>
      <c r="B32" s="87" t="s">
        <v>684</v>
      </c>
      <c r="C32" s="107">
        <v>44109</v>
      </c>
      <c r="D32" s="108" t="s">
        <v>16</v>
      </c>
      <c r="E32" s="109">
        <v>27320</v>
      </c>
      <c r="F32" s="88">
        <f>E32*3.24845</f>
        <v>88747.653999999995</v>
      </c>
      <c r="G32" s="264">
        <f t="shared" si="2"/>
        <v>44169</v>
      </c>
      <c r="H32" s="111"/>
      <c r="I32" s="108"/>
      <c r="J32" s="110"/>
      <c r="K32" s="112"/>
      <c r="L32" s="110"/>
      <c r="M32" s="114">
        <f t="shared" si="1"/>
        <v>27320</v>
      </c>
    </row>
    <row r="33" spans="1:14" hidden="1" x14ac:dyDescent="0.2">
      <c r="A33" s="561" t="s">
        <v>19</v>
      </c>
      <c r="B33" s="562" t="s">
        <v>673</v>
      </c>
      <c r="C33" s="563">
        <v>44116</v>
      </c>
      <c r="D33" s="564" t="s">
        <v>16</v>
      </c>
      <c r="E33" s="565">
        <v>39840</v>
      </c>
      <c r="F33" s="566">
        <f>+E33*3.25305</f>
        <v>129601.512</v>
      </c>
      <c r="G33" s="567">
        <f t="shared" si="2"/>
        <v>44176</v>
      </c>
      <c r="H33" s="568"/>
      <c r="I33" s="564"/>
      <c r="J33" s="569"/>
      <c r="K33" s="570">
        <f>16152.52+23687.48</f>
        <v>39840</v>
      </c>
      <c r="L33" s="569"/>
      <c r="M33" s="571">
        <f t="shared" si="1"/>
        <v>0</v>
      </c>
      <c r="N33" s="560"/>
    </row>
    <row r="34" spans="1:14" x14ac:dyDescent="0.2">
      <c r="A34" s="106" t="s">
        <v>106</v>
      </c>
      <c r="B34" s="87" t="s">
        <v>683</v>
      </c>
      <c r="C34" s="107">
        <v>44118</v>
      </c>
      <c r="D34" s="108" t="s">
        <v>16</v>
      </c>
      <c r="E34" s="109">
        <v>8621</v>
      </c>
      <c r="F34" s="88">
        <f>+E34*3.2505</f>
        <v>28022.560500000003</v>
      </c>
      <c r="G34" s="264">
        <f t="shared" si="2"/>
        <v>44178</v>
      </c>
      <c r="H34" s="111"/>
      <c r="I34" s="108"/>
      <c r="J34" s="110"/>
      <c r="K34" s="112"/>
      <c r="L34" s="110"/>
      <c r="M34" s="114">
        <f t="shared" si="1"/>
        <v>8621</v>
      </c>
    </row>
    <row r="35" spans="1:14" hidden="1" x14ac:dyDescent="0.2">
      <c r="A35" s="561" t="s">
        <v>19</v>
      </c>
      <c r="B35" s="562" t="s">
        <v>710</v>
      </c>
      <c r="C35" s="563">
        <v>44130</v>
      </c>
      <c r="D35" s="564" t="s">
        <v>16</v>
      </c>
      <c r="E35" s="565">
        <v>86254.36</v>
      </c>
      <c r="F35" s="566">
        <f>+E35*3.25165</f>
        <v>280468.98969399999</v>
      </c>
      <c r="G35" s="567">
        <f t="shared" si="2"/>
        <v>44190</v>
      </c>
      <c r="H35" s="568"/>
      <c r="I35" s="564"/>
      <c r="J35" s="569"/>
      <c r="K35" s="570">
        <f>26312.52+59941.84</f>
        <v>86254.36</v>
      </c>
      <c r="L35" s="569"/>
      <c r="M35" s="571">
        <f t="shared" si="1"/>
        <v>0</v>
      </c>
    </row>
    <row r="36" spans="1:14" x14ac:dyDescent="0.2">
      <c r="A36" s="106" t="s">
        <v>19</v>
      </c>
      <c r="B36" s="87" t="s">
        <v>738</v>
      </c>
      <c r="C36" s="107">
        <v>44137</v>
      </c>
      <c r="D36" s="108" t="s">
        <v>16</v>
      </c>
      <c r="E36" s="109">
        <v>83717.440000000002</v>
      </c>
      <c r="F36" s="88">
        <f>+E36*3.23415</f>
        <v>270754.75857599999</v>
      </c>
      <c r="G36" s="264">
        <f t="shared" si="2"/>
        <v>44197</v>
      </c>
      <c r="H36" s="111"/>
      <c r="I36" s="108"/>
      <c r="J36" s="110"/>
      <c r="K36" s="112">
        <f>80000-227.2</f>
        <v>79772.800000000003</v>
      </c>
      <c r="L36" s="110"/>
      <c r="M36" s="114">
        <f t="shared" si="1"/>
        <v>3944.6399999999994</v>
      </c>
      <c r="N36" s="466" t="s">
        <v>912</v>
      </c>
    </row>
    <row r="37" spans="1:14" x14ac:dyDescent="0.2">
      <c r="A37" s="106" t="s">
        <v>106</v>
      </c>
      <c r="B37" s="87" t="s">
        <v>747</v>
      </c>
      <c r="C37" s="107">
        <v>44148</v>
      </c>
      <c r="D37" s="108" t="s">
        <v>16</v>
      </c>
      <c r="E37" s="109">
        <v>15106</v>
      </c>
      <c r="F37" s="88">
        <f>+E37*3.2508</f>
        <v>49106.584799999997</v>
      </c>
      <c r="G37" s="264">
        <f t="shared" si="2"/>
        <v>44208</v>
      </c>
      <c r="H37" s="111"/>
      <c r="I37" s="108"/>
      <c r="J37" s="110"/>
      <c r="K37" s="112"/>
      <c r="L37" s="110"/>
      <c r="M37" s="114">
        <f t="shared" si="1"/>
        <v>15106</v>
      </c>
    </row>
    <row r="38" spans="1:14" x14ac:dyDescent="0.2">
      <c r="A38" s="106" t="s">
        <v>106</v>
      </c>
      <c r="B38" s="87" t="s">
        <v>754</v>
      </c>
      <c r="C38" s="107">
        <v>44155</v>
      </c>
      <c r="D38" s="108" t="s">
        <v>16</v>
      </c>
      <c r="E38" s="109">
        <v>10412.61</v>
      </c>
      <c r="F38" s="88">
        <f>+E38*3.2515</f>
        <v>33856.601415000005</v>
      </c>
      <c r="G38" s="264">
        <f t="shared" si="2"/>
        <v>44215</v>
      </c>
      <c r="H38" s="111"/>
      <c r="I38" s="108"/>
      <c r="J38" s="110"/>
      <c r="K38" s="112"/>
      <c r="L38" s="110"/>
      <c r="M38" s="114">
        <f t="shared" si="1"/>
        <v>10412.61</v>
      </c>
    </row>
    <row r="39" spans="1:14" x14ac:dyDescent="0.2">
      <c r="A39" s="106" t="s">
        <v>106</v>
      </c>
      <c r="B39" s="87" t="s">
        <v>768</v>
      </c>
      <c r="C39" s="107">
        <v>44168</v>
      </c>
      <c r="D39" s="108" t="s">
        <v>16</v>
      </c>
      <c r="E39" s="109">
        <v>9195.5</v>
      </c>
      <c r="F39" s="88">
        <f>+E39*3.2789</f>
        <v>30151.124950000001</v>
      </c>
      <c r="G39" s="264">
        <f t="shared" si="2"/>
        <v>44228</v>
      </c>
      <c r="H39" s="111"/>
      <c r="I39" s="108"/>
      <c r="J39" s="110"/>
      <c r="K39" s="112"/>
      <c r="L39" s="110"/>
      <c r="M39" s="114">
        <f t="shared" si="1"/>
        <v>9195.5</v>
      </c>
    </row>
    <row r="40" spans="1:14" x14ac:dyDescent="0.2">
      <c r="A40" s="106" t="s">
        <v>106</v>
      </c>
      <c r="B40" s="87" t="s">
        <v>776</v>
      </c>
      <c r="C40" s="107">
        <v>44175</v>
      </c>
      <c r="D40" s="108" t="s">
        <v>16</v>
      </c>
      <c r="E40" s="109">
        <v>8960</v>
      </c>
      <c r="F40" s="88">
        <f>+E40*3.2833</f>
        <v>29418.368000000002</v>
      </c>
      <c r="G40" s="264">
        <f t="shared" si="2"/>
        <v>44235</v>
      </c>
      <c r="H40" s="111"/>
      <c r="I40" s="108"/>
      <c r="J40" s="110"/>
      <c r="K40" s="112"/>
      <c r="L40" s="110"/>
      <c r="M40" s="114">
        <f t="shared" si="1"/>
        <v>8960</v>
      </c>
    </row>
    <row r="41" spans="1:14" hidden="1" x14ac:dyDescent="0.2">
      <c r="A41" s="561" t="s">
        <v>19</v>
      </c>
      <c r="B41" s="562" t="s">
        <v>789</v>
      </c>
      <c r="C41" s="563">
        <v>44166</v>
      </c>
      <c r="D41" s="564" t="s">
        <v>16</v>
      </c>
      <c r="E41" s="565">
        <v>89529.3</v>
      </c>
      <c r="F41" s="566">
        <f>+E41*3.291</f>
        <v>294640.92629999999</v>
      </c>
      <c r="G41" s="567">
        <f t="shared" si="2"/>
        <v>44226</v>
      </c>
      <c r="H41" s="568"/>
      <c r="I41" s="564"/>
      <c r="J41" s="569"/>
      <c r="K41" s="570">
        <f>65058.16+24471.14</f>
        <v>89529.3</v>
      </c>
      <c r="L41" s="569"/>
      <c r="M41" s="114">
        <f t="shared" si="1"/>
        <v>0</v>
      </c>
    </row>
    <row r="42" spans="1:14" x14ac:dyDescent="0.2">
      <c r="A42" s="106" t="s">
        <v>106</v>
      </c>
      <c r="B42" s="87" t="s">
        <v>825</v>
      </c>
      <c r="C42" s="107">
        <v>44200</v>
      </c>
      <c r="D42" s="108" t="s">
        <v>16</v>
      </c>
      <c r="E42" s="109">
        <v>16027.1</v>
      </c>
      <c r="F42" s="88">
        <f>+E42*3.2928</f>
        <v>52774.034880000007</v>
      </c>
      <c r="G42" s="264">
        <f t="shared" si="2"/>
        <v>44260</v>
      </c>
      <c r="H42" s="111"/>
      <c r="I42" s="108"/>
      <c r="J42" s="110"/>
      <c r="K42" s="112"/>
      <c r="L42" s="110"/>
      <c r="M42" s="114">
        <f t="shared" si="1"/>
        <v>16027.1</v>
      </c>
    </row>
    <row r="43" spans="1:14" hidden="1" x14ac:dyDescent="0.2">
      <c r="A43" s="561" t="s">
        <v>17</v>
      </c>
      <c r="B43" s="562" t="s">
        <v>826</v>
      </c>
      <c r="C43" s="563">
        <v>44204</v>
      </c>
      <c r="D43" s="564" t="s">
        <v>16</v>
      </c>
      <c r="E43" s="565">
        <v>98359.84</v>
      </c>
      <c r="F43" s="566">
        <f>+E43*3.2861</f>
        <v>323220.27022399998</v>
      </c>
      <c r="G43" s="567">
        <f t="shared" si="2"/>
        <v>44264</v>
      </c>
      <c r="H43" s="568"/>
      <c r="I43" s="564"/>
      <c r="J43" s="569"/>
      <c r="K43" s="570">
        <v>98224.34</v>
      </c>
      <c r="L43" s="569"/>
      <c r="M43" s="114">
        <f t="shared" si="1"/>
        <v>135.5</v>
      </c>
    </row>
    <row r="44" spans="1:14" hidden="1" x14ac:dyDescent="0.2">
      <c r="A44" s="561" t="s">
        <v>19</v>
      </c>
      <c r="B44" s="562" t="s">
        <v>841</v>
      </c>
      <c r="C44" s="563">
        <v>44214</v>
      </c>
      <c r="D44" s="564" t="s">
        <v>16</v>
      </c>
      <c r="E44" s="565">
        <v>90735.6</v>
      </c>
      <c r="F44" s="566">
        <f>+E44*3.2825</f>
        <v>297839.60700000002</v>
      </c>
      <c r="G44" s="567">
        <f t="shared" si="2"/>
        <v>44274</v>
      </c>
      <c r="H44" s="568"/>
      <c r="I44" s="564"/>
      <c r="J44" s="569"/>
      <c r="K44" s="570">
        <v>90735.6</v>
      </c>
      <c r="L44" s="569"/>
      <c r="M44" s="114">
        <f t="shared" si="1"/>
        <v>0</v>
      </c>
    </row>
    <row r="45" spans="1:14" x14ac:dyDescent="0.2">
      <c r="A45" s="106" t="s">
        <v>106</v>
      </c>
      <c r="B45" s="87" t="s">
        <v>1020</v>
      </c>
      <c r="C45" s="107">
        <v>44228</v>
      </c>
      <c r="D45" s="108" t="s">
        <v>16</v>
      </c>
      <c r="E45" s="109">
        <v>14010.96</v>
      </c>
      <c r="F45" s="88">
        <f>+E45*3.2787</f>
        <v>45937.734552000002</v>
      </c>
      <c r="G45" s="264">
        <f t="shared" ref="G45:G57" si="3">+C45+60</f>
        <v>44288</v>
      </c>
      <c r="H45" s="111"/>
      <c r="I45" s="108"/>
      <c r="J45" s="110"/>
      <c r="K45" s="112"/>
      <c r="L45" s="110"/>
      <c r="M45" s="114">
        <f t="shared" si="1"/>
        <v>14010.96</v>
      </c>
    </row>
    <row r="46" spans="1:14" hidden="1" x14ac:dyDescent="0.2">
      <c r="A46" s="561" t="s">
        <v>19</v>
      </c>
      <c r="B46" s="562" t="s">
        <v>854</v>
      </c>
      <c r="C46" s="563">
        <v>44231</v>
      </c>
      <c r="D46" s="564" t="s">
        <v>16</v>
      </c>
      <c r="E46" s="565">
        <v>87121.2</v>
      </c>
      <c r="F46" s="566">
        <f>+E46*3.2695</f>
        <v>284842.7634</v>
      </c>
      <c r="G46" s="567">
        <f t="shared" si="3"/>
        <v>44291</v>
      </c>
      <c r="H46" s="568"/>
      <c r="I46" s="564"/>
      <c r="J46" s="569"/>
      <c r="K46" s="570">
        <f>38293.26+48827.94</f>
        <v>87121.200000000012</v>
      </c>
      <c r="L46" s="569"/>
      <c r="M46" s="114">
        <f t="shared" si="1"/>
        <v>0</v>
      </c>
    </row>
    <row r="47" spans="1:14" hidden="1" x14ac:dyDescent="0.2">
      <c r="A47" s="561" t="s">
        <v>19</v>
      </c>
      <c r="B47" s="562" t="s">
        <v>910</v>
      </c>
      <c r="C47" s="563">
        <v>44240</v>
      </c>
      <c r="D47" s="564" t="s">
        <v>16</v>
      </c>
      <c r="E47" s="565">
        <v>80224.399999999994</v>
      </c>
      <c r="F47" s="566">
        <f>+E47*3.2837</f>
        <v>263432.86228</v>
      </c>
      <c r="G47" s="567">
        <f t="shared" si="3"/>
        <v>44300</v>
      </c>
      <c r="H47" s="568"/>
      <c r="I47" s="564"/>
      <c r="J47" s="569"/>
      <c r="K47" s="570">
        <v>78828.92</v>
      </c>
      <c r="L47" s="569"/>
      <c r="M47" s="571">
        <f t="shared" si="1"/>
        <v>1395.4799999999959</v>
      </c>
      <c r="N47" s="70" t="s">
        <v>913</v>
      </c>
    </row>
    <row r="48" spans="1:14" hidden="1" x14ac:dyDescent="0.2">
      <c r="A48" s="561" t="s">
        <v>19</v>
      </c>
      <c r="B48" s="562" t="s">
        <v>911</v>
      </c>
      <c r="C48" s="563">
        <v>44249</v>
      </c>
      <c r="D48" s="564" t="s">
        <v>16</v>
      </c>
      <c r="E48" s="565">
        <v>88106.32</v>
      </c>
      <c r="F48" s="566">
        <f>+E48*3.2837</f>
        <v>289314.72298400005</v>
      </c>
      <c r="G48" s="567">
        <f t="shared" si="3"/>
        <v>44309</v>
      </c>
      <c r="H48" s="568"/>
      <c r="I48" s="564"/>
      <c r="J48" s="569"/>
      <c r="K48" s="570">
        <f>45172.06+42934.26</f>
        <v>88106.32</v>
      </c>
      <c r="L48" s="569"/>
      <c r="M48" s="571">
        <f t="shared" si="1"/>
        <v>0</v>
      </c>
    </row>
    <row r="49" spans="1:14" x14ac:dyDescent="0.2">
      <c r="A49" s="106" t="s">
        <v>19</v>
      </c>
      <c r="B49" s="87" t="s">
        <v>937</v>
      </c>
      <c r="C49" s="107">
        <v>44266</v>
      </c>
      <c r="D49" s="108" t="s">
        <v>16</v>
      </c>
      <c r="E49" s="109">
        <v>88650.92</v>
      </c>
      <c r="F49" s="88">
        <f>+E49*3.2809</f>
        <v>290854.80342800001</v>
      </c>
      <c r="G49" s="264">
        <f t="shared" si="3"/>
        <v>44326</v>
      </c>
      <c r="H49" s="111"/>
      <c r="I49" s="108"/>
      <c r="J49" s="110"/>
      <c r="K49" s="112">
        <v>33845.18</v>
      </c>
      <c r="L49" s="110"/>
      <c r="M49" s="114">
        <f t="shared" si="1"/>
        <v>54805.74</v>
      </c>
    </row>
    <row r="50" spans="1:14" x14ac:dyDescent="0.2">
      <c r="A50" s="106" t="s">
        <v>106</v>
      </c>
      <c r="B50" s="87" t="s">
        <v>938</v>
      </c>
      <c r="C50" s="107">
        <v>44270</v>
      </c>
      <c r="D50" s="108" t="s">
        <v>16</v>
      </c>
      <c r="E50" s="109">
        <v>11592.67</v>
      </c>
      <c r="F50" s="88">
        <f>+E50*3.2809</f>
        <v>38034.391002999997</v>
      </c>
      <c r="G50" s="264">
        <f t="shared" si="3"/>
        <v>44330</v>
      </c>
      <c r="H50" s="111"/>
      <c r="I50" s="108"/>
      <c r="J50" s="110"/>
      <c r="K50" s="112"/>
      <c r="L50" s="110"/>
      <c r="M50" s="114">
        <f t="shared" si="1"/>
        <v>11592.67</v>
      </c>
    </row>
    <row r="51" spans="1:14" x14ac:dyDescent="0.2">
      <c r="A51" s="106" t="s">
        <v>19</v>
      </c>
      <c r="B51" s="87" t="s">
        <v>1008</v>
      </c>
      <c r="C51" s="107">
        <v>44278</v>
      </c>
      <c r="D51" s="108" t="s">
        <v>16</v>
      </c>
      <c r="E51" s="109">
        <v>85322.5</v>
      </c>
      <c r="F51" s="88">
        <f>+E51*3.2742</f>
        <v>279362.92950000003</v>
      </c>
      <c r="G51" s="264">
        <f t="shared" si="3"/>
        <v>44338</v>
      </c>
      <c r="H51" s="111"/>
      <c r="I51" s="108"/>
      <c r="J51" s="110"/>
      <c r="K51" s="112"/>
      <c r="L51" s="110"/>
      <c r="M51" s="114">
        <f t="shared" si="1"/>
        <v>85322.5</v>
      </c>
      <c r="N51" s="70" t="s">
        <v>913</v>
      </c>
    </row>
    <row r="52" spans="1:14" x14ac:dyDescent="0.2">
      <c r="A52" s="106" t="s">
        <v>106</v>
      </c>
      <c r="B52" s="87" t="s">
        <v>1202</v>
      </c>
      <c r="C52" s="107">
        <v>44285</v>
      </c>
      <c r="D52" s="108" t="s">
        <v>16</v>
      </c>
      <c r="E52" s="109">
        <v>6934.27</v>
      </c>
      <c r="F52" s="88">
        <f>+E52*3.2732</f>
        <v>22697.252564000002</v>
      </c>
      <c r="G52" s="264">
        <f t="shared" si="3"/>
        <v>44345</v>
      </c>
      <c r="H52" s="111"/>
      <c r="I52" s="108"/>
      <c r="J52" s="110"/>
      <c r="K52" s="112"/>
      <c r="L52" s="110"/>
      <c r="M52" s="114">
        <f t="shared" si="1"/>
        <v>6934.27</v>
      </c>
    </row>
    <row r="53" spans="1:14" x14ac:dyDescent="0.2">
      <c r="A53" s="106" t="s">
        <v>19</v>
      </c>
      <c r="B53" s="87" t="s">
        <v>1009</v>
      </c>
      <c r="C53" s="107">
        <v>44287</v>
      </c>
      <c r="D53" s="108" t="s">
        <v>16</v>
      </c>
      <c r="E53" s="109">
        <v>90868.75</v>
      </c>
      <c r="F53" s="88">
        <f>+E53*3.2742</f>
        <v>297522.46124999999</v>
      </c>
      <c r="G53" s="264">
        <f t="shared" si="3"/>
        <v>44347</v>
      </c>
      <c r="H53" s="111"/>
      <c r="I53" s="108"/>
      <c r="J53" s="110"/>
      <c r="K53" s="112"/>
      <c r="L53" s="110"/>
      <c r="M53" s="114">
        <f t="shared" si="1"/>
        <v>90868.75</v>
      </c>
    </row>
    <row r="54" spans="1:14" hidden="1" x14ac:dyDescent="0.2">
      <c r="A54" s="561" t="s">
        <v>19</v>
      </c>
      <c r="B54" s="562" t="s">
        <v>1021</v>
      </c>
      <c r="C54" s="563">
        <v>44293</v>
      </c>
      <c r="D54" s="564" t="s">
        <v>16</v>
      </c>
      <c r="E54" s="565">
        <v>90819</v>
      </c>
      <c r="F54" s="566">
        <f>+E54*3.2877</f>
        <v>298585.6263</v>
      </c>
      <c r="G54" s="567">
        <f t="shared" si="3"/>
        <v>44353</v>
      </c>
      <c r="H54" s="568"/>
      <c r="I54" s="564"/>
      <c r="J54" s="569"/>
      <c r="K54" s="570">
        <v>90347.56</v>
      </c>
      <c r="L54" s="569"/>
      <c r="M54" s="571">
        <f t="shared" si="1"/>
        <v>471.44000000000233</v>
      </c>
      <c r="N54" s="70" t="s">
        <v>913</v>
      </c>
    </row>
    <row r="55" spans="1:14" x14ac:dyDescent="0.2">
      <c r="A55" s="106" t="s">
        <v>106</v>
      </c>
      <c r="B55" s="87" t="s">
        <v>1022</v>
      </c>
      <c r="C55" s="107">
        <v>44305</v>
      </c>
      <c r="D55" s="108" t="s">
        <v>16</v>
      </c>
      <c r="E55" s="109">
        <v>7668.83</v>
      </c>
      <c r="F55" s="88">
        <f>+E55*3.3053</f>
        <v>25347.783799000001</v>
      </c>
      <c r="G55" s="264">
        <f t="shared" si="3"/>
        <v>44365</v>
      </c>
      <c r="H55" s="111"/>
      <c r="I55" s="108"/>
      <c r="J55" s="110"/>
      <c r="K55" s="112"/>
      <c r="L55" s="110"/>
      <c r="M55" s="114">
        <f t="shared" si="1"/>
        <v>7668.83</v>
      </c>
    </row>
    <row r="56" spans="1:14" x14ac:dyDescent="0.2">
      <c r="A56" s="106" t="s">
        <v>106</v>
      </c>
      <c r="B56" s="87" t="s">
        <v>1200</v>
      </c>
      <c r="C56" s="107">
        <v>44319</v>
      </c>
      <c r="D56" s="108" t="s">
        <v>16</v>
      </c>
      <c r="E56" s="109">
        <v>59106</v>
      </c>
      <c r="F56" s="88">
        <f>+E56*3.3135</f>
        <v>195847.731</v>
      </c>
      <c r="G56" s="264">
        <f t="shared" si="3"/>
        <v>44379</v>
      </c>
      <c r="H56" s="111"/>
      <c r="I56" s="108"/>
      <c r="J56" s="110"/>
      <c r="K56" s="112"/>
      <c r="L56" s="110"/>
      <c r="M56" s="114">
        <f t="shared" si="1"/>
        <v>59106</v>
      </c>
    </row>
    <row r="57" spans="1:14" x14ac:dyDescent="0.2">
      <c r="A57" s="106" t="s">
        <v>19</v>
      </c>
      <c r="B57" s="87" t="s">
        <v>1201</v>
      </c>
      <c r="C57" s="107">
        <v>44321</v>
      </c>
      <c r="D57" s="108" t="s">
        <v>16</v>
      </c>
      <c r="E57" s="109">
        <v>91956.01</v>
      </c>
      <c r="F57" s="88">
        <f>+E57*3.30275</f>
        <v>303707.71202749998</v>
      </c>
      <c r="G57" s="264">
        <f t="shared" si="3"/>
        <v>44381</v>
      </c>
      <c r="H57" s="111"/>
      <c r="I57" s="108"/>
      <c r="J57" s="110"/>
      <c r="K57" s="112"/>
      <c r="L57" s="110"/>
      <c r="M57" s="114">
        <f t="shared" si="1"/>
        <v>91956.01</v>
      </c>
    </row>
    <row r="58" spans="1:14" x14ac:dyDescent="0.2">
      <c r="A58" s="106"/>
      <c r="B58" s="87"/>
      <c r="C58" s="107"/>
      <c r="D58" s="108"/>
      <c r="E58" s="109"/>
      <c r="F58" s="88"/>
      <c r="G58" s="264"/>
      <c r="H58" s="111"/>
      <c r="I58" s="108"/>
      <c r="J58" s="110"/>
      <c r="K58" s="112"/>
      <c r="L58" s="110"/>
      <c r="M58" s="114"/>
    </row>
    <row r="59" spans="1:14" x14ac:dyDescent="0.2">
      <c r="A59" s="106"/>
      <c r="B59" s="87"/>
      <c r="C59" s="107"/>
      <c r="D59" s="108"/>
      <c r="E59" s="109"/>
      <c r="F59" s="88"/>
      <c r="G59" s="264"/>
      <c r="H59" s="111"/>
      <c r="I59" s="108"/>
      <c r="J59" s="110"/>
      <c r="K59" s="112"/>
      <c r="L59" s="110"/>
      <c r="M59" s="114"/>
    </row>
    <row r="60" spans="1:14" ht="13.5" thickBot="1" x14ac:dyDescent="0.25">
      <c r="A60" s="294"/>
      <c r="B60" s="55"/>
      <c r="C60" s="68"/>
      <c r="D60" s="68"/>
      <c r="E60" s="56"/>
      <c r="F60" s="80"/>
      <c r="G60" s="295"/>
      <c r="H60" s="296"/>
      <c r="I60" s="68"/>
      <c r="J60" s="75"/>
      <c r="K60" s="297"/>
      <c r="L60" s="75"/>
      <c r="M60" s="298"/>
    </row>
    <row r="61" spans="1:14" ht="13.5" thickBot="1" x14ac:dyDescent="0.25">
      <c r="G61" s="299"/>
    </row>
    <row r="62" spans="1:14" ht="13.5" thickBot="1" x14ac:dyDescent="0.25">
      <c r="A62" s="673" t="s">
        <v>0</v>
      </c>
      <c r="B62" s="674" t="s">
        <v>1</v>
      </c>
      <c r="C62" s="674"/>
      <c r="D62" s="674"/>
      <c r="E62" s="674"/>
      <c r="F62" s="674"/>
      <c r="G62" s="674"/>
      <c r="H62" s="675" t="s">
        <v>2</v>
      </c>
      <c r="I62" s="675"/>
      <c r="J62" s="675"/>
      <c r="K62" s="675" t="s">
        <v>3</v>
      </c>
      <c r="L62" s="675"/>
      <c r="M62" s="673" t="s">
        <v>4</v>
      </c>
    </row>
    <row r="63" spans="1:14" ht="13.5" thickBot="1" x14ac:dyDescent="0.25">
      <c r="A63" s="673"/>
      <c r="B63" s="266" t="s">
        <v>5</v>
      </c>
      <c r="C63" s="266" t="s">
        <v>6</v>
      </c>
      <c r="D63" s="266" t="s">
        <v>7</v>
      </c>
      <c r="E63" s="3" t="s">
        <v>8</v>
      </c>
      <c r="F63" s="2" t="s">
        <v>9</v>
      </c>
      <c r="G63" s="267" t="s">
        <v>10</v>
      </c>
      <c r="H63" s="2" t="s">
        <v>11</v>
      </c>
      <c r="I63" s="266" t="s">
        <v>12</v>
      </c>
      <c r="J63" s="267" t="s">
        <v>13</v>
      </c>
      <c r="K63" s="3" t="s">
        <v>11</v>
      </c>
      <c r="L63" s="267" t="s">
        <v>14</v>
      </c>
      <c r="M63" s="673"/>
    </row>
    <row r="64" spans="1:14" x14ac:dyDescent="0.2">
      <c r="A64" s="106" t="s">
        <v>91</v>
      </c>
      <c r="B64" s="87" t="s">
        <v>96</v>
      </c>
      <c r="C64" s="107">
        <v>42977</v>
      </c>
      <c r="D64" s="108" t="s">
        <v>16</v>
      </c>
      <c r="E64" s="109">
        <v>30250</v>
      </c>
      <c r="F64" s="88">
        <f>+E64*2.889</f>
        <v>87392.25</v>
      </c>
      <c r="G64" s="110">
        <f>+C64+60</f>
        <v>43037</v>
      </c>
      <c r="H64" s="111"/>
      <c r="I64" s="107"/>
      <c r="J64" s="110"/>
      <c r="K64" s="112">
        <f>23714.59-15000+12500</f>
        <v>21214.59</v>
      </c>
      <c r="L64" s="113"/>
      <c r="M64" s="114">
        <f>E64-K64</f>
        <v>9035.41</v>
      </c>
    </row>
    <row r="65" spans="1:13" x14ac:dyDescent="0.2">
      <c r="A65" s="106" t="s">
        <v>91</v>
      </c>
      <c r="B65" s="87" t="s">
        <v>97</v>
      </c>
      <c r="C65" s="107">
        <v>42992</v>
      </c>
      <c r="D65" s="108" t="s">
        <v>16</v>
      </c>
      <c r="E65" s="109">
        <v>34946.269999999997</v>
      </c>
      <c r="F65" s="88">
        <f>+E65*2.899</f>
        <v>101309.23672999999</v>
      </c>
      <c r="G65" s="110">
        <f>+C65+60</f>
        <v>43052</v>
      </c>
      <c r="H65" s="111"/>
      <c r="I65" s="107"/>
      <c r="J65" s="110"/>
      <c r="K65" s="112"/>
      <c r="L65" s="113"/>
      <c r="M65" s="114">
        <f>E65-K65</f>
        <v>34946.269999999997</v>
      </c>
    </row>
    <row r="66" spans="1:13" x14ac:dyDescent="0.2">
      <c r="A66" s="106" t="s">
        <v>91</v>
      </c>
      <c r="B66" s="87" t="s">
        <v>98</v>
      </c>
      <c r="C66" s="107">
        <v>43006</v>
      </c>
      <c r="D66" s="108" t="s">
        <v>16</v>
      </c>
      <c r="E66" s="109">
        <v>44550</v>
      </c>
      <c r="F66" s="88">
        <f>+E66*2.893</f>
        <v>128883.15</v>
      </c>
      <c r="G66" s="110">
        <f>+C66+60</f>
        <v>43066</v>
      </c>
      <c r="H66" s="111"/>
      <c r="I66" s="107"/>
      <c r="J66" s="110"/>
      <c r="K66" s="112"/>
      <c r="L66" s="113"/>
      <c r="M66" s="114">
        <f>E66-K66</f>
        <v>44550</v>
      </c>
    </row>
    <row r="67" spans="1:13" ht="13.5" thickBot="1" x14ac:dyDescent="0.25">
      <c r="A67" s="106" t="s">
        <v>91</v>
      </c>
      <c r="B67" s="87" t="s">
        <v>99</v>
      </c>
      <c r="C67" s="107">
        <v>43019</v>
      </c>
      <c r="D67" s="108" t="s">
        <v>16</v>
      </c>
      <c r="E67" s="109">
        <v>27337.5</v>
      </c>
      <c r="F67" s="88">
        <f>+E67*2.9093</f>
        <v>79532.988750000004</v>
      </c>
      <c r="G67" s="110">
        <f>+C67+60</f>
        <v>43079</v>
      </c>
      <c r="H67" s="111"/>
      <c r="I67" s="107"/>
      <c r="J67" s="110"/>
      <c r="K67" s="112"/>
      <c r="L67" s="113"/>
      <c r="M67" s="114">
        <f>E67-K67</f>
        <v>27337.5</v>
      </c>
    </row>
    <row r="68" spans="1:13" x14ac:dyDescent="0.2">
      <c r="A68" s="106" t="s">
        <v>91</v>
      </c>
      <c r="B68" s="87" t="s">
        <v>100</v>
      </c>
      <c r="C68" s="107">
        <v>43034</v>
      </c>
      <c r="D68" s="108" t="s">
        <v>16</v>
      </c>
      <c r="E68" s="109">
        <v>15386.35</v>
      </c>
      <c r="F68" s="88">
        <f>+E68*2.9096</f>
        <v>44768.123960000004</v>
      </c>
      <c r="G68" s="110">
        <f>+C68+60</f>
        <v>43094</v>
      </c>
      <c r="H68" s="111"/>
      <c r="I68" s="107"/>
      <c r="J68" s="110"/>
      <c r="K68" s="112"/>
      <c r="L68" s="113"/>
      <c r="M68" s="114">
        <f>E68-K68</f>
        <v>15386.35</v>
      </c>
    </row>
    <row r="69" spans="1:13" ht="13.5" thickBot="1" x14ac:dyDescent="0.25">
      <c r="A69" s="279"/>
      <c r="B69" s="280"/>
      <c r="C69" s="281"/>
      <c r="D69" s="282"/>
      <c r="E69" s="283"/>
      <c r="F69" s="284"/>
      <c r="G69" s="285"/>
      <c r="H69" s="286"/>
      <c r="I69" s="281"/>
      <c r="J69" s="285"/>
      <c r="K69" s="287"/>
      <c r="L69" s="288"/>
      <c r="M69" s="289"/>
    </row>
    <row r="70" spans="1:13" ht="13.5" thickBot="1" x14ac:dyDescent="0.25">
      <c r="G70" s="12"/>
    </row>
    <row r="71" spans="1:13" ht="13.5" thickBot="1" x14ac:dyDescent="0.25">
      <c r="B71" s="300" t="s">
        <v>24</v>
      </c>
      <c r="C71" s="301" t="s">
        <v>25</v>
      </c>
      <c r="D71" s="678" t="s">
        <v>9</v>
      </c>
      <c r="E71" s="679"/>
    </row>
    <row r="72" spans="1:13" ht="13.5" thickBot="1" x14ac:dyDescent="0.25">
      <c r="A72" s="302" t="s">
        <v>19</v>
      </c>
      <c r="B72" s="361"/>
      <c r="C72" s="361"/>
      <c r="D72" s="682"/>
      <c r="E72" s="683"/>
    </row>
    <row r="73" spans="1:13" x14ac:dyDescent="0.2">
      <c r="A73" s="363">
        <v>2019</v>
      </c>
      <c r="B73" s="369">
        <f>M16+M19+M20</f>
        <v>126779.44</v>
      </c>
      <c r="C73" s="363"/>
      <c r="D73" s="687"/>
      <c r="E73" s="688"/>
    </row>
    <row r="74" spans="1:13" x14ac:dyDescent="0.2">
      <c r="A74" s="363">
        <v>2020</v>
      </c>
      <c r="B74" s="369">
        <f>+M36</f>
        <v>3944.6399999999994</v>
      </c>
      <c r="C74" s="363"/>
      <c r="D74" s="626"/>
      <c r="E74" s="627"/>
    </row>
    <row r="75" spans="1:13" ht="13.5" thickBot="1" x14ac:dyDescent="0.25">
      <c r="A75" s="360">
        <v>2021</v>
      </c>
      <c r="B75" s="362">
        <f>M48+M49+M51+M53+M57</f>
        <v>322953</v>
      </c>
      <c r="C75" s="362">
        <v>0</v>
      </c>
      <c r="D75" s="680">
        <v>0</v>
      </c>
      <c r="E75" s="681"/>
      <c r="G75" s="70"/>
    </row>
    <row r="76" spans="1:13" ht="13.5" thickBot="1" x14ac:dyDescent="0.25">
      <c r="A76" s="364" t="s">
        <v>15</v>
      </c>
      <c r="B76" s="365">
        <f>M11+M12+M15</f>
        <v>65290.47</v>
      </c>
      <c r="C76" s="365">
        <v>0</v>
      </c>
      <c r="D76" s="684"/>
      <c r="E76" s="684"/>
    </row>
    <row r="77" spans="1:13" ht="13.5" thickBot="1" x14ac:dyDescent="0.25">
      <c r="A77" s="364" t="s">
        <v>17</v>
      </c>
      <c r="B77" s="365">
        <f>M9</f>
        <v>5190.95</v>
      </c>
      <c r="C77" s="366">
        <f>+M4</f>
        <v>1211.8600000000006</v>
      </c>
      <c r="D77" s="684"/>
      <c r="E77" s="684"/>
    </row>
    <row r="78" spans="1:13" ht="13.5" thickBot="1" x14ac:dyDescent="0.25">
      <c r="A78" s="364" t="s">
        <v>103</v>
      </c>
      <c r="B78" s="365">
        <f>M13</f>
        <v>3120.6399999999994</v>
      </c>
      <c r="C78" s="366"/>
      <c r="D78" s="684"/>
      <c r="E78" s="684"/>
    </row>
    <row r="79" spans="1:13" ht="13.5" thickBot="1" x14ac:dyDescent="0.25">
      <c r="A79" s="364" t="s">
        <v>334</v>
      </c>
      <c r="B79" s="365">
        <v>0</v>
      </c>
      <c r="C79" s="366"/>
      <c r="D79" s="684"/>
      <c r="E79" s="684"/>
    </row>
    <row r="80" spans="1:13" x14ac:dyDescent="0.2">
      <c r="A80" s="302" t="s">
        <v>107</v>
      </c>
      <c r="B80" s="367"/>
      <c r="C80" s="368"/>
      <c r="D80" s="685"/>
      <c r="E80" s="685"/>
    </row>
    <row r="81" spans="1:7" x14ac:dyDescent="0.2">
      <c r="A81" s="363">
        <v>2020</v>
      </c>
      <c r="B81" s="369">
        <f>M31+M32+M34+M37+M38+M39+M40</f>
        <v>81567</v>
      </c>
      <c r="C81" s="628"/>
      <c r="D81" s="691"/>
      <c r="E81" s="692"/>
    </row>
    <row r="82" spans="1:7" ht="13.5" thickBot="1" x14ac:dyDescent="0.25">
      <c r="A82" s="360">
        <v>2021</v>
      </c>
      <c r="B82" s="362">
        <f>+M42+M45+M50+M55+M56+M52</f>
        <v>115339.83</v>
      </c>
      <c r="C82" s="362">
        <v>0</v>
      </c>
      <c r="D82" s="686">
        <v>0</v>
      </c>
      <c r="E82" s="686"/>
      <c r="G82" s="70"/>
    </row>
    <row r="83" spans="1:7" ht="13.5" thickBot="1" x14ac:dyDescent="0.25">
      <c r="A83" s="364" t="s">
        <v>331</v>
      </c>
      <c r="B83" s="365">
        <f>+M14</f>
        <v>27227.199999999997</v>
      </c>
      <c r="C83" s="366"/>
      <c r="D83" s="684"/>
      <c r="E83" s="684"/>
    </row>
    <row r="84" spans="1:7" ht="13.5" thickBot="1" x14ac:dyDescent="0.25">
      <c r="A84" s="364" t="s">
        <v>88</v>
      </c>
      <c r="B84" s="365">
        <f>M64+M65+M66+M67+M68</f>
        <v>131255.53</v>
      </c>
      <c r="C84" s="366"/>
      <c r="D84" s="684"/>
      <c r="E84" s="684"/>
    </row>
    <row r="85" spans="1:7" x14ac:dyDescent="0.2">
      <c r="A85" s="302" t="s">
        <v>336</v>
      </c>
      <c r="B85" s="361"/>
      <c r="C85" s="361"/>
      <c r="D85" s="682"/>
      <c r="E85" s="683"/>
    </row>
    <row r="86" spans="1:7" x14ac:dyDescent="0.2">
      <c r="A86" s="363">
        <v>2019</v>
      </c>
      <c r="B86" s="369">
        <f>M17+M18</f>
        <v>80303.610000000015</v>
      </c>
      <c r="C86" s="363"/>
      <c r="D86" s="687"/>
      <c r="E86" s="688"/>
    </row>
    <row r="87" spans="1:7" ht="13.5" thickBot="1" x14ac:dyDescent="0.25">
      <c r="A87" s="360">
        <v>2020</v>
      </c>
      <c r="B87" s="362">
        <f>M28</f>
        <v>4379.0400000000081</v>
      </c>
      <c r="C87" s="362">
        <v>0</v>
      </c>
      <c r="D87" s="680">
        <v>0</v>
      </c>
      <c r="E87" s="681"/>
    </row>
    <row r="88" spans="1:7" ht="13.5" thickBot="1" x14ac:dyDescent="0.25">
      <c r="A88" s="364" t="s">
        <v>83</v>
      </c>
      <c r="B88" s="364"/>
      <c r="C88" s="365">
        <f>+M10</f>
        <v>60082</v>
      </c>
      <c r="D88" s="684"/>
      <c r="E88" s="684"/>
    </row>
    <row r="89" spans="1:7" ht="13.5" thickBot="1" x14ac:dyDescent="0.25">
      <c r="B89" s="303">
        <f>SUM(B72:B88)</f>
        <v>967351.35</v>
      </c>
      <c r="C89" s="250">
        <f>SUM(C72:C88)</f>
        <v>61293.86</v>
      </c>
      <c r="D89" s="689">
        <f>SUM(D72:D88)</f>
        <v>0</v>
      </c>
      <c r="E89" s="690"/>
    </row>
    <row r="91" spans="1:7" x14ac:dyDescent="0.2">
      <c r="B91" s="76"/>
      <c r="C91" s="76"/>
    </row>
    <row r="92" spans="1:7" x14ac:dyDescent="0.2">
      <c r="B92" s="70"/>
    </row>
    <row r="94" spans="1:7" x14ac:dyDescent="0.2">
      <c r="G94" s="12"/>
    </row>
    <row r="95" spans="1:7" x14ac:dyDescent="0.2">
      <c r="G95" s="12"/>
    </row>
    <row r="96" spans="1:7" x14ac:dyDescent="0.2">
      <c r="G96" s="299"/>
    </row>
    <row r="97" spans="13:13" x14ac:dyDescent="0.2">
      <c r="M97" s="198"/>
    </row>
  </sheetData>
  <mergeCells count="33">
    <mergeCell ref="D85:E85"/>
    <mergeCell ref="D86:E86"/>
    <mergeCell ref="D77:E77"/>
    <mergeCell ref="D88:E88"/>
    <mergeCell ref="D89:E89"/>
    <mergeCell ref="D87:E87"/>
    <mergeCell ref="D81:E81"/>
    <mergeCell ref="D71:E71"/>
    <mergeCell ref="D75:E75"/>
    <mergeCell ref="D72:E72"/>
    <mergeCell ref="D76:E76"/>
    <mergeCell ref="D84:E84"/>
    <mergeCell ref="D78:E78"/>
    <mergeCell ref="D80:E80"/>
    <mergeCell ref="D79:E79"/>
    <mergeCell ref="D83:E83"/>
    <mergeCell ref="D82:E82"/>
    <mergeCell ref="D73:E73"/>
    <mergeCell ref="A7:A8"/>
    <mergeCell ref="B7:G7"/>
    <mergeCell ref="H7:J7"/>
    <mergeCell ref="K7:L7"/>
    <mergeCell ref="M7:M8"/>
    <mergeCell ref="A2:A3"/>
    <mergeCell ref="B2:G2"/>
    <mergeCell ref="H2:J2"/>
    <mergeCell ref="K2:L2"/>
    <mergeCell ref="M2:M3"/>
    <mergeCell ref="A62:A63"/>
    <mergeCell ref="B62:G62"/>
    <mergeCell ref="H62:J62"/>
    <mergeCell ref="K62:L62"/>
    <mergeCell ref="M62:M63"/>
  </mergeCells>
  <pageMargins left="0.70866141732283472" right="0.70866141732283472" top="0.74803149606299213" bottom="0.74803149606299213" header="0.31496062992125984" footer="0.31496062992125984"/>
  <pageSetup paperSize="9" scale="93" orientation="landscape" horizontalDpi="180" verticalDpi="180" r:id="rId1"/>
  <ignoredErrors>
    <ignoredError sqref="F52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L1186"/>
  <sheetViews>
    <sheetView topLeftCell="A16" workbookViewId="0">
      <selection activeCell="D2" sqref="D2:D51"/>
    </sheetView>
  </sheetViews>
  <sheetFormatPr baseColWidth="10" defaultRowHeight="15" x14ac:dyDescent="0.25"/>
  <cols>
    <col min="1" max="1" width="8.140625" bestFit="1" customWidth="1"/>
    <col min="2" max="2" width="34.42578125" bestFit="1" customWidth="1"/>
    <col min="3" max="3" width="10.7109375" bestFit="1" customWidth="1"/>
    <col min="4" max="4" width="13" style="14" bestFit="1" customWidth="1"/>
    <col min="5" max="5" width="10" style="14" bestFit="1" customWidth="1"/>
  </cols>
  <sheetData>
    <row r="1" spans="1:12" s="315" customFormat="1" ht="15.75" thickBot="1" x14ac:dyDescent="0.3">
      <c r="A1" s="318" t="s">
        <v>118</v>
      </c>
      <c r="B1" s="317" t="s">
        <v>119</v>
      </c>
      <c r="C1" s="317" t="s">
        <v>390</v>
      </c>
      <c r="D1" s="316" t="s">
        <v>11</v>
      </c>
      <c r="E1" s="14" t="s">
        <v>1374</v>
      </c>
    </row>
    <row r="2" spans="1:12" x14ac:dyDescent="0.25">
      <c r="A2" t="s">
        <v>1178</v>
      </c>
      <c r="B2" t="s">
        <v>1177</v>
      </c>
      <c r="C2" s="34">
        <v>44352</v>
      </c>
      <c r="D2" s="14">
        <v>373.84399999999999</v>
      </c>
      <c r="L2" s="643">
        <v>44377</v>
      </c>
    </row>
    <row r="3" spans="1:12" x14ac:dyDescent="0.25">
      <c r="A3" t="s">
        <v>1149</v>
      </c>
      <c r="B3" t="s">
        <v>1148</v>
      </c>
      <c r="C3" s="34">
        <v>44352</v>
      </c>
      <c r="D3" s="14">
        <v>1725</v>
      </c>
      <c r="L3" s="643">
        <f>L2-4</f>
        <v>44373</v>
      </c>
    </row>
    <row r="4" spans="1:12" x14ac:dyDescent="0.25">
      <c r="A4" t="s">
        <v>1178</v>
      </c>
      <c r="B4" t="s">
        <v>1177</v>
      </c>
      <c r="C4" s="34">
        <v>44352</v>
      </c>
      <c r="D4" s="14">
        <v>490.39</v>
      </c>
      <c r="L4" s="643">
        <f>L3+90</f>
        <v>44463</v>
      </c>
    </row>
    <row r="5" spans="1:12" x14ac:dyDescent="0.25">
      <c r="A5" t="s">
        <v>1373</v>
      </c>
      <c r="B5" t="s">
        <v>1372</v>
      </c>
      <c r="C5" s="34">
        <v>44352</v>
      </c>
      <c r="D5" s="14">
        <v>364.07299999999998</v>
      </c>
    </row>
    <row r="6" spans="1:12" x14ac:dyDescent="0.25">
      <c r="A6" t="s">
        <v>261</v>
      </c>
      <c r="B6" t="s">
        <v>262</v>
      </c>
      <c r="C6" s="34">
        <v>44352</v>
      </c>
      <c r="D6" s="14">
        <v>2450</v>
      </c>
    </row>
    <row r="7" spans="1:12" x14ac:dyDescent="0.25">
      <c r="A7" t="s">
        <v>1371</v>
      </c>
      <c r="B7" t="s">
        <v>1370</v>
      </c>
      <c r="C7" s="34">
        <v>44352</v>
      </c>
      <c r="D7" s="14">
        <v>886.53099999999995</v>
      </c>
    </row>
    <row r="8" spans="1:12" x14ac:dyDescent="0.25">
      <c r="A8" t="s">
        <v>759</v>
      </c>
      <c r="B8" t="s">
        <v>758</v>
      </c>
      <c r="C8" s="34">
        <v>44352</v>
      </c>
      <c r="D8" s="14">
        <v>4000</v>
      </c>
    </row>
    <row r="9" spans="1:12" x14ac:dyDescent="0.25">
      <c r="A9" t="s">
        <v>216</v>
      </c>
      <c r="B9" t="s">
        <v>217</v>
      </c>
      <c r="C9" s="34">
        <v>44352</v>
      </c>
      <c r="D9" s="14">
        <v>7000</v>
      </c>
    </row>
    <row r="10" spans="1:12" x14ac:dyDescent="0.25">
      <c r="A10" t="s">
        <v>671</v>
      </c>
      <c r="B10" t="s">
        <v>670</v>
      </c>
      <c r="C10" s="34">
        <v>44352</v>
      </c>
      <c r="D10" s="14">
        <v>2000</v>
      </c>
    </row>
    <row r="11" spans="1:12" x14ac:dyDescent="0.25">
      <c r="A11" t="s">
        <v>437</v>
      </c>
      <c r="B11" t="s">
        <v>436</v>
      </c>
      <c r="C11" s="34">
        <v>44352</v>
      </c>
      <c r="D11" s="14">
        <v>2000</v>
      </c>
    </row>
    <row r="12" spans="1:12" x14ac:dyDescent="0.25">
      <c r="A12" t="s">
        <v>462</v>
      </c>
      <c r="B12" t="s">
        <v>213</v>
      </c>
      <c r="C12" s="34">
        <v>44352</v>
      </c>
      <c r="D12" s="14">
        <v>1747.854</v>
      </c>
    </row>
    <row r="13" spans="1:12" x14ac:dyDescent="0.25">
      <c r="A13" t="s">
        <v>431</v>
      </c>
      <c r="B13" t="s">
        <v>337</v>
      </c>
      <c r="C13" s="34">
        <v>44352</v>
      </c>
      <c r="D13" s="14">
        <v>7821.1869999999999</v>
      </c>
    </row>
    <row r="14" spans="1:12" x14ac:dyDescent="0.25">
      <c r="A14" t="s">
        <v>144</v>
      </c>
      <c r="B14" t="s">
        <v>145</v>
      </c>
      <c r="C14" s="34">
        <v>44352</v>
      </c>
      <c r="D14" s="14">
        <v>1117.452</v>
      </c>
    </row>
    <row r="15" spans="1:12" x14ac:dyDescent="0.25">
      <c r="A15" t="s">
        <v>642</v>
      </c>
      <c r="B15" t="s">
        <v>341</v>
      </c>
      <c r="C15" s="34">
        <v>44352</v>
      </c>
      <c r="D15" s="14">
        <v>792.90300000000002</v>
      </c>
    </row>
    <row r="16" spans="1:12" x14ac:dyDescent="0.25">
      <c r="A16" t="s">
        <v>580</v>
      </c>
      <c r="B16" t="s">
        <v>349</v>
      </c>
      <c r="C16" s="34">
        <v>44352</v>
      </c>
      <c r="D16" s="14">
        <v>8715.3070000000007</v>
      </c>
    </row>
    <row r="17" spans="1:4" x14ac:dyDescent="0.25">
      <c r="A17" t="s">
        <v>315</v>
      </c>
      <c r="B17" t="s">
        <v>245</v>
      </c>
      <c r="C17" s="34">
        <v>44352</v>
      </c>
      <c r="D17" s="14">
        <v>5505.6030000000001</v>
      </c>
    </row>
    <row r="18" spans="1:4" x14ac:dyDescent="0.25">
      <c r="A18" t="s">
        <v>410</v>
      </c>
      <c r="B18" t="s">
        <v>356</v>
      </c>
      <c r="C18" s="34">
        <v>44352</v>
      </c>
      <c r="D18" s="14">
        <v>1643.172</v>
      </c>
    </row>
    <row r="19" spans="1:4" x14ac:dyDescent="0.25">
      <c r="A19" t="s">
        <v>426</v>
      </c>
      <c r="B19" t="s">
        <v>180</v>
      </c>
      <c r="C19" s="34">
        <v>44352</v>
      </c>
      <c r="D19" s="14">
        <v>1000</v>
      </c>
    </row>
    <row r="20" spans="1:4" x14ac:dyDescent="0.25">
      <c r="A20" t="s">
        <v>340</v>
      </c>
      <c r="B20" t="s">
        <v>188</v>
      </c>
      <c r="C20" s="34">
        <v>44352</v>
      </c>
      <c r="D20" s="14">
        <v>5327.7280000000001</v>
      </c>
    </row>
    <row r="21" spans="1:4" x14ac:dyDescent="0.25">
      <c r="A21" t="s">
        <v>550</v>
      </c>
      <c r="B21" t="s">
        <v>220</v>
      </c>
      <c r="C21" s="34">
        <v>44352</v>
      </c>
      <c r="D21" s="14">
        <v>1774.7139999999999</v>
      </c>
    </row>
    <row r="22" spans="1:4" x14ac:dyDescent="0.25">
      <c r="A22" t="s">
        <v>460</v>
      </c>
      <c r="B22" t="s">
        <v>976</v>
      </c>
      <c r="C22" s="34">
        <v>44352</v>
      </c>
      <c r="D22" s="14">
        <v>10464.437</v>
      </c>
    </row>
    <row r="23" spans="1:4" x14ac:dyDescent="0.25">
      <c r="A23" t="s">
        <v>882</v>
      </c>
      <c r="B23" t="s">
        <v>677</v>
      </c>
      <c r="C23" s="34">
        <v>44352</v>
      </c>
      <c r="D23" s="14">
        <v>1400</v>
      </c>
    </row>
    <row r="24" spans="1:4" x14ac:dyDescent="0.25">
      <c r="A24" t="s">
        <v>478</v>
      </c>
      <c r="B24" t="s">
        <v>404</v>
      </c>
      <c r="C24" s="34">
        <v>44352</v>
      </c>
      <c r="D24" s="14">
        <v>1700</v>
      </c>
    </row>
    <row r="25" spans="1:4" x14ac:dyDescent="0.25">
      <c r="A25" t="s">
        <v>598</v>
      </c>
      <c r="B25" t="s">
        <v>545</v>
      </c>
      <c r="C25" s="34">
        <v>44352</v>
      </c>
      <c r="D25" s="14">
        <v>643.85500000000002</v>
      </c>
    </row>
    <row r="26" spans="1:4" x14ac:dyDescent="0.25">
      <c r="A26" t="s">
        <v>556</v>
      </c>
      <c r="B26" t="s">
        <v>555</v>
      </c>
      <c r="C26" s="34">
        <v>44352</v>
      </c>
      <c r="D26" s="14">
        <v>350</v>
      </c>
    </row>
    <row r="27" spans="1:4" x14ac:dyDescent="0.25">
      <c r="A27" t="s">
        <v>1136</v>
      </c>
      <c r="B27" t="s">
        <v>1135</v>
      </c>
      <c r="C27" s="34">
        <v>44352</v>
      </c>
      <c r="D27" s="14">
        <v>250</v>
      </c>
    </row>
    <row r="28" spans="1:4" x14ac:dyDescent="0.25">
      <c r="A28" t="s">
        <v>1136</v>
      </c>
      <c r="B28" t="s">
        <v>1135</v>
      </c>
      <c r="C28" s="34">
        <v>44352</v>
      </c>
      <c r="D28" s="14">
        <v>50</v>
      </c>
    </row>
    <row r="29" spans="1:4" x14ac:dyDescent="0.25">
      <c r="A29" t="s">
        <v>1176</v>
      </c>
      <c r="B29" t="s">
        <v>1175</v>
      </c>
      <c r="C29" s="34">
        <v>44352</v>
      </c>
      <c r="D29" s="14">
        <v>800</v>
      </c>
    </row>
    <row r="30" spans="1:4" x14ac:dyDescent="0.25">
      <c r="A30" t="s">
        <v>153</v>
      </c>
      <c r="B30" t="s">
        <v>154</v>
      </c>
      <c r="C30" s="34">
        <v>44352</v>
      </c>
      <c r="D30" s="14">
        <v>194.494</v>
      </c>
    </row>
    <row r="31" spans="1:4" x14ac:dyDescent="0.25">
      <c r="A31" t="s">
        <v>218</v>
      </c>
      <c r="B31" t="s">
        <v>219</v>
      </c>
      <c r="C31" s="34">
        <v>44352</v>
      </c>
      <c r="D31" s="14">
        <v>1500</v>
      </c>
    </row>
    <row r="32" spans="1:4" x14ac:dyDescent="0.25">
      <c r="A32" t="s">
        <v>430</v>
      </c>
      <c r="B32" t="s">
        <v>429</v>
      </c>
      <c r="C32" s="34">
        <v>44352</v>
      </c>
      <c r="D32" s="14">
        <v>1797.385</v>
      </c>
    </row>
    <row r="33" spans="1:4" x14ac:dyDescent="0.25">
      <c r="A33" t="s">
        <v>751</v>
      </c>
      <c r="B33" t="s">
        <v>750</v>
      </c>
      <c r="C33" s="34">
        <v>44352</v>
      </c>
      <c r="D33" s="14">
        <v>670</v>
      </c>
    </row>
    <row r="34" spans="1:4" x14ac:dyDescent="0.25">
      <c r="A34" t="s">
        <v>1344</v>
      </c>
      <c r="B34" t="s">
        <v>1343</v>
      </c>
      <c r="C34" s="34">
        <v>44352</v>
      </c>
      <c r="D34" s="14">
        <v>217</v>
      </c>
    </row>
    <row r="35" spans="1:4" x14ac:dyDescent="0.25">
      <c r="A35" t="s">
        <v>374</v>
      </c>
      <c r="B35" t="s">
        <v>360</v>
      </c>
      <c r="C35" s="34">
        <v>44352</v>
      </c>
      <c r="D35" s="14">
        <v>995</v>
      </c>
    </row>
    <row r="36" spans="1:4" x14ac:dyDescent="0.25">
      <c r="A36" t="s">
        <v>374</v>
      </c>
      <c r="B36" t="s">
        <v>360</v>
      </c>
      <c r="C36" s="34">
        <v>44352</v>
      </c>
      <c r="D36" s="14">
        <v>995</v>
      </c>
    </row>
    <row r="37" spans="1:4" x14ac:dyDescent="0.25">
      <c r="A37" t="s">
        <v>526</v>
      </c>
      <c r="B37" t="s">
        <v>527</v>
      </c>
      <c r="C37" s="34">
        <v>44352</v>
      </c>
      <c r="D37" s="14">
        <v>1668.1769999999999</v>
      </c>
    </row>
    <row r="38" spans="1:4" x14ac:dyDescent="0.25">
      <c r="A38" t="s">
        <v>713</v>
      </c>
      <c r="B38" t="s">
        <v>819</v>
      </c>
      <c r="C38" s="34">
        <v>44352</v>
      </c>
      <c r="D38" s="14">
        <v>2710.3409999999999</v>
      </c>
    </row>
    <row r="39" spans="1:4" x14ac:dyDescent="0.25">
      <c r="A39" t="s">
        <v>261</v>
      </c>
      <c r="B39" t="s">
        <v>262</v>
      </c>
      <c r="C39" s="34">
        <v>44352</v>
      </c>
      <c r="D39" s="14">
        <v>2336</v>
      </c>
    </row>
    <row r="40" spans="1:4" x14ac:dyDescent="0.25">
      <c r="A40" t="s">
        <v>142</v>
      </c>
      <c r="B40" t="s">
        <v>143</v>
      </c>
      <c r="C40" s="34">
        <v>44352</v>
      </c>
      <c r="D40" s="14">
        <v>1020</v>
      </c>
    </row>
    <row r="41" spans="1:4" x14ac:dyDescent="0.25">
      <c r="A41" t="s">
        <v>1005</v>
      </c>
      <c r="B41" t="s">
        <v>1004</v>
      </c>
      <c r="C41" s="34">
        <v>44353</v>
      </c>
      <c r="D41" s="14">
        <v>300</v>
      </c>
    </row>
    <row r="42" spans="1:4" x14ac:dyDescent="0.25">
      <c r="A42" t="s">
        <v>887</v>
      </c>
      <c r="B42" t="s">
        <v>886</v>
      </c>
      <c r="C42" s="34">
        <v>44353</v>
      </c>
      <c r="D42" s="14">
        <v>1709</v>
      </c>
    </row>
    <row r="43" spans="1:4" x14ac:dyDescent="0.25">
      <c r="A43" t="s">
        <v>148</v>
      </c>
      <c r="B43" t="s">
        <v>149</v>
      </c>
      <c r="C43" s="34">
        <v>44354</v>
      </c>
      <c r="D43" s="14">
        <v>4650</v>
      </c>
    </row>
    <row r="44" spans="1:4" x14ac:dyDescent="0.25">
      <c r="A44" t="s">
        <v>306</v>
      </c>
      <c r="B44" t="s">
        <v>305</v>
      </c>
      <c r="C44" s="34">
        <v>44354</v>
      </c>
      <c r="D44" s="14">
        <v>9341.2260000000006</v>
      </c>
    </row>
    <row r="45" spans="1:4" x14ac:dyDescent="0.25">
      <c r="A45" t="s">
        <v>178</v>
      </c>
      <c r="B45" t="s">
        <v>179</v>
      </c>
      <c r="C45" s="34">
        <v>44354</v>
      </c>
      <c r="D45" s="14">
        <v>2210</v>
      </c>
    </row>
    <row r="46" spans="1:4" x14ac:dyDescent="0.25">
      <c r="A46" t="s">
        <v>556</v>
      </c>
      <c r="B46" t="s">
        <v>555</v>
      </c>
      <c r="C46" s="34">
        <v>44354</v>
      </c>
      <c r="D46" s="14">
        <v>350</v>
      </c>
    </row>
    <row r="47" spans="1:4" x14ac:dyDescent="0.25">
      <c r="A47" t="s">
        <v>1101</v>
      </c>
      <c r="B47" t="s">
        <v>1100</v>
      </c>
      <c r="C47" s="34">
        <v>44354</v>
      </c>
      <c r="D47" s="14">
        <v>70</v>
      </c>
    </row>
    <row r="48" spans="1:4" x14ac:dyDescent="0.25">
      <c r="A48" t="s">
        <v>795</v>
      </c>
      <c r="B48" t="s">
        <v>794</v>
      </c>
      <c r="C48" s="34">
        <v>44354</v>
      </c>
      <c r="D48" s="14">
        <v>3119.0880000000002</v>
      </c>
    </row>
    <row r="49" spans="1:4" x14ac:dyDescent="0.25">
      <c r="A49" t="s">
        <v>870</v>
      </c>
      <c r="B49" t="s">
        <v>869</v>
      </c>
      <c r="C49" s="34">
        <v>44354</v>
      </c>
      <c r="D49" s="14">
        <v>182.04499999999999</v>
      </c>
    </row>
    <row r="50" spans="1:4" x14ac:dyDescent="0.25">
      <c r="A50" t="s">
        <v>925</v>
      </c>
      <c r="B50" t="s">
        <v>338</v>
      </c>
      <c r="C50" s="34">
        <v>44354</v>
      </c>
      <c r="D50" s="14">
        <v>3000</v>
      </c>
    </row>
    <row r="51" spans="1:4" x14ac:dyDescent="0.25">
      <c r="A51" t="s">
        <v>126</v>
      </c>
      <c r="B51" t="s">
        <v>127</v>
      </c>
      <c r="C51" s="34">
        <v>44354</v>
      </c>
      <c r="D51" s="14">
        <v>1500</v>
      </c>
    </row>
    <row r="52" spans="1:4" x14ac:dyDescent="0.25">
      <c r="A52" t="s">
        <v>161</v>
      </c>
      <c r="B52" t="s">
        <v>162</v>
      </c>
      <c r="C52" s="34">
        <v>44355</v>
      </c>
      <c r="D52" s="14">
        <v>4360</v>
      </c>
    </row>
    <row r="53" spans="1:4" x14ac:dyDescent="0.25">
      <c r="A53" t="s">
        <v>544</v>
      </c>
      <c r="B53" t="s">
        <v>304</v>
      </c>
      <c r="C53" s="34">
        <v>44355</v>
      </c>
      <c r="D53" s="14">
        <v>5340.9549999999999</v>
      </c>
    </row>
    <row r="54" spans="1:4" x14ac:dyDescent="0.25">
      <c r="A54" t="s">
        <v>1077</v>
      </c>
      <c r="B54" t="s">
        <v>1076</v>
      </c>
      <c r="C54" s="34">
        <v>44355</v>
      </c>
      <c r="D54" s="14">
        <v>2000</v>
      </c>
    </row>
    <row r="55" spans="1:4" x14ac:dyDescent="0.25">
      <c r="A55" t="s">
        <v>793</v>
      </c>
      <c r="B55" t="s">
        <v>792</v>
      </c>
      <c r="C55" s="34">
        <v>44355</v>
      </c>
      <c r="D55" s="14">
        <v>1400</v>
      </c>
    </row>
    <row r="56" spans="1:4" x14ac:dyDescent="0.25">
      <c r="A56" t="s">
        <v>868</v>
      </c>
      <c r="B56" t="s">
        <v>867</v>
      </c>
      <c r="C56" s="34">
        <v>44355</v>
      </c>
      <c r="D56" s="14">
        <v>6696.7889999999998</v>
      </c>
    </row>
    <row r="57" spans="1:4" s="312" customFormat="1" x14ac:dyDescent="0.25">
      <c r="A57" t="s">
        <v>218</v>
      </c>
      <c r="B57" t="s">
        <v>219</v>
      </c>
      <c r="C57" s="34">
        <v>44355</v>
      </c>
      <c r="D57" s="14">
        <v>1500</v>
      </c>
    </row>
    <row r="58" spans="1:4" x14ac:dyDescent="0.25">
      <c r="A58" t="s">
        <v>178</v>
      </c>
      <c r="B58" t="s">
        <v>179</v>
      </c>
      <c r="C58" s="34">
        <v>44356</v>
      </c>
      <c r="D58" s="14">
        <v>2220</v>
      </c>
    </row>
    <row r="59" spans="1:4" x14ac:dyDescent="0.25">
      <c r="A59" t="s">
        <v>1018</v>
      </c>
      <c r="B59" t="s">
        <v>796</v>
      </c>
      <c r="C59" s="34">
        <v>44356</v>
      </c>
      <c r="D59" s="14">
        <v>2026.123</v>
      </c>
    </row>
    <row r="60" spans="1:4" x14ac:dyDescent="0.25">
      <c r="A60" t="s">
        <v>908</v>
      </c>
      <c r="B60" t="s">
        <v>907</v>
      </c>
      <c r="C60" s="34">
        <v>44356</v>
      </c>
      <c r="D60" s="14">
        <v>371.34500000000003</v>
      </c>
    </row>
    <row r="61" spans="1:4" x14ac:dyDescent="0.25">
      <c r="A61" t="s">
        <v>749</v>
      </c>
      <c r="B61" t="s">
        <v>748</v>
      </c>
      <c r="C61" s="34">
        <v>44356</v>
      </c>
      <c r="D61" s="14">
        <v>495.459</v>
      </c>
    </row>
    <row r="62" spans="1:4" x14ac:dyDescent="0.25">
      <c r="A62" t="s">
        <v>1099</v>
      </c>
      <c r="B62" t="s">
        <v>470</v>
      </c>
      <c r="C62" s="34">
        <v>44356</v>
      </c>
      <c r="D62" s="14">
        <v>1650</v>
      </c>
    </row>
    <row r="63" spans="1:4" x14ac:dyDescent="0.25">
      <c r="A63" t="s">
        <v>161</v>
      </c>
      <c r="B63" t="s">
        <v>162</v>
      </c>
      <c r="C63" s="34">
        <v>44357</v>
      </c>
      <c r="D63" s="14">
        <v>4437.92</v>
      </c>
    </row>
    <row r="64" spans="1:4" x14ac:dyDescent="0.25">
      <c r="A64" t="s">
        <v>232</v>
      </c>
      <c r="B64" t="s">
        <v>233</v>
      </c>
      <c r="C64" s="34">
        <v>44357</v>
      </c>
      <c r="D64" s="14">
        <v>2345.308</v>
      </c>
    </row>
    <row r="65" spans="1:4" x14ac:dyDescent="0.25">
      <c r="A65" t="s">
        <v>565</v>
      </c>
      <c r="B65" t="s">
        <v>564</v>
      </c>
      <c r="C65" s="34">
        <v>44357</v>
      </c>
      <c r="D65" s="14">
        <v>1224.4349999999999</v>
      </c>
    </row>
    <row r="66" spans="1:4" x14ac:dyDescent="0.25">
      <c r="A66" t="s">
        <v>155</v>
      </c>
      <c r="B66" t="s">
        <v>156</v>
      </c>
      <c r="C66" s="34">
        <v>44357</v>
      </c>
      <c r="D66" s="14">
        <v>3000</v>
      </c>
    </row>
    <row r="67" spans="1:4" x14ac:dyDescent="0.25">
      <c r="A67" t="s">
        <v>524</v>
      </c>
      <c r="B67" t="s">
        <v>525</v>
      </c>
      <c r="C67" s="34">
        <v>44357</v>
      </c>
      <c r="D67" s="14">
        <v>2300</v>
      </c>
    </row>
    <row r="68" spans="1:4" x14ac:dyDescent="0.25">
      <c r="A68" t="s">
        <v>178</v>
      </c>
      <c r="B68" t="s">
        <v>179</v>
      </c>
      <c r="C68" s="34">
        <v>44357</v>
      </c>
      <c r="D68" s="14">
        <v>2201.826</v>
      </c>
    </row>
    <row r="69" spans="1:4" x14ac:dyDescent="0.25">
      <c r="A69" t="s">
        <v>170</v>
      </c>
      <c r="B69" t="s">
        <v>171</v>
      </c>
      <c r="C69" s="34">
        <v>44357</v>
      </c>
      <c r="D69" s="14">
        <v>4500</v>
      </c>
    </row>
    <row r="70" spans="1:4" x14ac:dyDescent="0.25">
      <c r="A70" t="s">
        <v>172</v>
      </c>
      <c r="B70" t="s">
        <v>173</v>
      </c>
      <c r="C70" s="34">
        <v>44357</v>
      </c>
      <c r="D70" s="14">
        <v>1500</v>
      </c>
    </row>
    <row r="71" spans="1:4" x14ac:dyDescent="0.25">
      <c r="A71" t="s">
        <v>462</v>
      </c>
      <c r="B71" t="s">
        <v>213</v>
      </c>
      <c r="C71" s="34">
        <v>44357</v>
      </c>
      <c r="D71" s="14">
        <v>1747.854</v>
      </c>
    </row>
    <row r="72" spans="1:4" x14ac:dyDescent="0.25">
      <c r="A72" t="s">
        <v>431</v>
      </c>
      <c r="B72" t="s">
        <v>337</v>
      </c>
      <c r="C72" s="34">
        <v>44357</v>
      </c>
      <c r="D72" s="14">
        <v>7821.1869999999999</v>
      </c>
    </row>
    <row r="73" spans="1:4" x14ac:dyDescent="0.25">
      <c r="A73" t="s">
        <v>407</v>
      </c>
      <c r="B73" t="s">
        <v>344</v>
      </c>
      <c r="C73" s="34">
        <v>44357</v>
      </c>
      <c r="D73" s="14">
        <v>3243.3629999999998</v>
      </c>
    </row>
    <row r="74" spans="1:4" x14ac:dyDescent="0.25">
      <c r="A74" t="s">
        <v>459</v>
      </c>
      <c r="B74" t="s">
        <v>185</v>
      </c>
      <c r="C74" s="34">
        <v>44357</v>
      </c>
      <c r="D74" s="14">
        <v>9305.4689999999991</v>
      </c>
    </row>
    <row r="75" spans="1:4" x14ac:dyDescent="0.25">
      <c r="A75" t="s">
        <v>426</v>
      </c>
      <c r="B75" t="s">
        <v>180</v>
      </c>
      <c r="C75" s="34">
        <v>44357</v>
      </c>
      <c r="D75" s="14">
        <v>1129.058</v>
      </c>
    </row>
    <row r="76" spans="1:4" x14ac:dyDescent="0.25">
      <c r="A76" t="s">
        <v>393</v>
      </c>
      <c r="B76" t="s">
        <v>150</v>
      </c>
      <c r="C76" s="34">
        <v>44357</v>
      </c>
      <c r="D76" s="14">
        <v>1493.385</v>
      </c>
    </row>
    <row r="77" spans="1:4" x14ac:dyDescent="0.25">
      <c r="A77" t="s">
        <v>458</v>
      </c>
      <c r="B77" t="s">
        <v>405</v>
      </c>
      <c r="C77" s="34">
        <v>44357</v>
      </c>
      <c r="D77" s="14">
        <v>3327.53</v>
      </c>
    </row>
    <row r="78" spans="1:4" x14ac:dyDescent="0.25">
      <c r="A78" t="s">
        <v>144</v>
      </c>
      <c r="B78" t="s">
        <v>145</v>
      </c>
      <c r="C78" s="34">
        <v>44357</v>
      </c>
      <c r="D78" s="14">
        <v>1100.5899999999999</v>
      </c>
    </row>
    <row r="79" spans="1:4" x14ac:dyDescent="0.25">
      <c r="A79" t="s">
        <v>954</v>
      </c>
      <c r="B79" t="s">
        <v>447</v>
      </c>
      <c r="C79" s="34">
        <v>44357</v>
      </c>
      <c r="D79" s="14">
        <v>600</v>
      </c>
    </row>
    <row r="80" spans="1:4" x14ac:dyDescent="0.25">
      <c r="A80" t="s">
        <v>461</v>
      </c>
      <c r="B80" t="s">
        <v>260</v>
      </c>
      <c r="C80" s="34">
        <v>44357</v>
      </c>
      <c r="D80" s="14">
        <v>331.72300000000001</v>
      </c>
    </row>
    <row r="81" spans="1:4" x14ac:dyDescent="0.25">
      <c r="A81" t="s">
        <v>478</v>
      </c>
      <c r="B81" t="s">
        <v>404</v>
      </c>
      <c r="C81" s="34">
        <v>44357</v>
      </c>
      <c r="D81" s="14">
        <v>1736.2260000000001</v>
      </c>
    </row>
    <row r="82" spans="1:4" x14ac:dyDescent="0.25">
      <c r="A82" t="s">
        <v>546</v>
      </c>
      <c r="B82" t="s">
        <v>466</v>
      </c>
      <c r="C82" s="34">
        <v>44357</v>
      </c>
      <c r="D82" s="14">
        <v>1028.269</v>
      </c>
    </row>
    <row r="83" spans="1:4" x14ac:dyDescent="0.25">
      <c r="A83" t="s">
        <v>1003</v>
      </c>
      <c r="B83" t="s">
        <v>1002</v>
      </c>
      <c r="C83" s="34">
        <v>44357</v>
      </c>
      <c r="D83" s="14">
        <v>412.80399999999997</v>
      </c>
    </row>
    <row r="84" spans="1:4" x14ac:dyDescent="0.25">
      <c r="A84" t="s">
        <v>1065</v>
      </c>
      <c r="B84" t="s">
        <v>1064</v>
      </c>
      <c r="C84" s="34">
        <v>44357</v>
      </c>
      <c r="D84" s="14">
        <v>475</v>
      </c>
    </row>
    <row r="85" spans="1:4" x14ac:dyDescent="0.25">
      <c r="A85" t="s">
        <v>1079</v>
      </c>
      <c r="B85" t="s">
        <v>1078</v>
      </c>
      <c r="C85" s="34">
        <v>44357</v>
      </c>
      <c r="D85" s="14">
        <v>1331.856</v>
      </c>
    </row>
    <row r="86" spans="1:4" x14ac:dyDescent="0.25">
      <c r="A86" t="s">
        <v>903</v>
      </c>
      <c r="B86" t="s">
        <v>734</v>
      </c>
      <c r="C86" s="34">
        <v>44357</v>
      </c>
      <c r="D86" s="14">
        <v>1593.856</v>
      </c>
    </row>
    <row r="87" spans="1:4" x14ac:dyDescent="0.25">
      <c r="A87" t="s">
        <v>1174</v>
      </c>
      <c r="B87" t="s">
        <v>1173</v>
      </c>
      <c r="C87" s="34">
        <v>44357</v>
      </c>
      <c r="D87" s="14">
        <v>2309.0590000000002</v>
      </c>
    </row>
    <row r="88" spans="1:4" x14ac:dyDescent="0.25">
      <c r="A88" t="s">
        <v>1259</v>
      </c>
      <c r="B88" t="s">
        <v>1258</v>
      </c>
      <c r="C88" s="34">
        <v>44357</v>
      </c>
      <c r="D88" s="14">
        <v>1588.702</v>
      </c>
    </row>
    <row r="89" spans="1:4" x14ac:dyDescent="0.25">
      <c r="A89" t="s">
        <v>1286</v>
      </c>
      <c r="B89" t="s">
        <v>1258</v>
      </c>
      <c r="C89" s="34">
        <v>44357</v>
      </c>
      <c r="D89" s="14">
        <v>199.93</v>
      </c>
    </row>
    <row r="90" spans="1:4" x14ac:dyDescent="0.25">
      <c r="A90" t="s">
        <v>558</v>
      </c>
      <c r="B90" t="s">
        <v>557</v>
      </c>
      <c r="C90" s="34">
        <v>44357</v>
      </c>
      <c r="D90" s="14">
        <v>1140</v>
      </c>
    </row>
    <row r="91" spans="1:4" x14ac:dyDescent="0.25">
      <c r="A91" t="s">
        <v>495</v>
      </c>
      <c r="B91" t="s">
        <v>494</v>
      </c>
      <c r="C91" s="34">
        <v>44357</v>
      </c>
      <c r="D91" s="14">
        <v>1072</v>
      </c>
    </row>
    <row r="92" spans="1:4" x14ac:dyDescent="0.25">
      <c r="A92" t="s">
        <v>153</v>
      </c>
      <c r="B92" t="s">
        <v>154</v>
      </c>
      <c r="C92" s="34">
        <v>44357</v>
      </c>
      <c r="D92" s="14">
        <v>840</v>
      </c>
    </row>
    <row r="93" spans="1:4" x14ac:dyDescent="0.25">
      <c r="A93" t="s">
        <v>153</v>
      </c>
      <c r="B93" t="s">
        <v>154</v>
      </c>
      <c r="C93" s="34">
        <v>44357</v>
      </c>
      <c r="D93" s="14">
        <v>870</v>
      </c>
    </row>
    <row r="94" spans="1:4" x14ac:dyDescent="0.25">
      <c r="A94" t="s">
        <v>385</v>
      </c>
      <c r="B94" t="s">
        <v>384</v>
      </c>
      <c r="C94" s="34">
        <v>44357</v>
      </c>
      <c r="D94" s="14">
        <v>1041.7940000000001</v>
      </c>
    </row>
    <row r="95" spans="1:4" x14ac:dyDescent="0.25">
      <c r="A95" t="s">
        <v>879</v>
      </c>
      <c r="B95" t="s">
        <v>878</v>
      </c>
      <c r="C95" s="34">
        <v>44357</v>
      </c>
      <c r="D95" s="14">
        <v>1300</v>
      </c>
    </row>
    <row r="96" spans="1:4" x14ac:dyDescent="0.25">
      <c r="A96" t="s">
        <v>597</v>
      </c>
      <c r="B96" t="s">
        <v>596</v>
      </c>
      <c r="C96" s="34">
        <v>44357</v>
      </c>
      <c r="D96" s="14">
        <v>1710.3710000000001</v>
      </c>
    </row>
    <row r="97" spans="1:4" x14ac:dyDescent="0.25">
      <c r="A97" t="s">
        <v>793</v>
      </c>
      <c r="B97" t="s">
        <v>792</v>
      </c>
      <c r="C97" s="34">
        <v>44357</v>
      </c>
      <c r="D97" s="14">
        <v>1350</v>
      </c>
    </row>
    <row r="98" spans="1:4" x14ac:dyDescent="0.25">
      <c r="A98" t="s">
        <v>168</v>
      </c>
      <c r="B98" t="s">
        <v>169</v>
      </c>
      <c r="C98" s="34">
        <v>44357</v>
      </c>
      <c r="D98" s="14">
        <v>1270.5170000000001</v>
      </c>
    </row>
    <row r="99" spans="1:4" x14ac:dyDescent="0.25">
      <c r="A99" t="s">
        <v>1039</v>
      </c>
      <c r="B99" t="s">
        <v>1038</v>
      </c>
      <c r="C99" s="34">
        <v>44357</v>
      </c>
      <c r="D99" s="14">
        <v>7901.2039999999997</v>
      </c>
    </row>
    <row r="100" spans="1:4" x14ac:dyDescent="0.25">
      <c r="A100" t="s">
        <v>751</v>
      </c>
      <c r="B100" t="s">
        <v>750</v>
      </c>
      <c r="C100" s="34">
        <v>44357</v>
      </c>
      <c r="D100" s="14">
        <v>500</v>
      </c>
    </row>
    <row r="101" spans="1:4" x14ac:dyDescent="0.25">
      <c r="A101" t="s">
        <v>520</v>
      </c>
      <c r="B101" t="s">
        <v>360</v>
      </c>
      <c r="C101" s="34">
        <v>44357</v>
      </c>
      <c r="D101" s="14">
        <v>950</v>
      </c>
    </row>
    <row r="102" spans="1:4" x14ac:dyDescent="0.25">
      <c r="A102" t="s">
        <v>520</v>
      </c>
      <c r="B102" t="s">
        <v>360</v>
      </c>
      <c r="C102" s="34">
        <v>44357</v>
      </c>
      <c r="D102" s="14">
        <v>950</v>
      </c>
    </row>
    <row r="103" spans="1:4" x14ac:dyDescent="0.25">
      <c r="A103" t="s">
        <v>645</v>
      </c>
      <c r="B103" t="s">
        <v>644</v>
      </c>
      <c r="C103" s="34">
        <v>44357</v>
      </c>
      <c r="D103" s="14">
        <v>1611.2629999999999</v>
      </c>
    </row>
    <row r="104" spans="1:4" x14ac:dyDescent="0.25">
      <c r="A104" t="s">
        <v>638</v>
      </c>
      <c r="B104" t="s">
        <v>637</v>
      </c>
      <c r="C104" s="34">
        <v>44357</v>
      </c>
      <c r="D104" s="14">
        <v>4000</v>
      </c>
    </row>
    <row r="105" spans="1:4" x14ac:dyDescent="0.25">
      <c r="A105" t="s">
        <v>234</v>
      </c>
      <c r="B105" t="s">
        <v>235</v>
      </c>
      <c r="C105" s="34">
        <v>44357</v>
      </c>
      <c r="D105" s="14">
        <v>5000</v>
      </c>
    </row>
    <row r="106" spans="1:4" x14ac:dyDescent="0.25">
      <c r="A106" t="s">
        <v>261</v>
      </c>
      <c r="B106" t="s">
        <v>262</v>
      </c>
      <c r="C106" s="34">
        <v>44357</v>
      </c>
      <c r="D106" s="14">
        <v>2336</v>
      </c>
    </row>
    <row r="107" spans="1:4" x14ac:dyDescent="0.25">
      <c r="A107" t="s">
        <v>157</v>
      </c>
      <c r="B107" t="s">
        <v>158</v>
      </c>
      <c r="C107" s="34">
        <v>44357</v>
      </c>
      <c r="D107" s="14">
        <v>1129.6379999999999</v>
      </c>
    </row>
    <row r="108" spans="1:4" x14ac:dyDescent="0.25">
      <c r="A108" t="s">
        <v>142</v>
      </c>
      <c r="B108" t="s">
        <v>143</v>
      </c>
      <c r="C108" s="34">
        <v>44357</v>
      </c>
      <c r="D108" s="14">
        <v>1050</v>
      </c>
    </row>
    <row r="109" spans="1:4" x14ac:dyDescent="0.25">
      <c r="A109" t="s">
        <v>314</v>
      </c>
      <c r="B109" t="s">
        <v>313</v>
      </c>
      <c r="C109" s="34">
        <v>44357</v>
      </c>
      <c r="D109" s="14">
        <v>4000</v>
      </c>
    </row>
    <row r="110" spans="1:4" x14ac:dyDescent="0.25">
      <c r="A110" t="s">
        <v>138</v>
      </c>
      <c r="B110" t="s">
        <v>139</v>
      </c>
      <c r="C110" s="34">
        <v>44357</v>
      </c>
      <c r="D110" s="14">
        <v>2373.2289999999998</v>
      </c>
    </row>
    <row r="111" spans="1:4" x14ac:dyDescent="0.25">
      <c r="A111" t="s">
        <v>475</v>
      </c>
      <c r="B111" t="s">
        <v>474</v>
      </c>
      <c r="C111" s="34">
        <v>44357</v>
      </c>
      <c r="D111" s="14">
        <v>2053.5529999999999</v>
      </c>
    </row>
    <row r="112" spans="1:4" x14ac:dyDescent="0.25">
      <c r="A112" t="s">
        <v>1030</v>
      </c>
      <c r="B112" t="s">
        <v>1029</v>
      </c>
      <c r="C112" s="34">
        <v>44357</v>
      </c>
      <c r="D112" s="14">
        <v>2178.3090000000002</v>
      </c>
    </row>
    <row r="113" spans="1:4" x14ac:dyDescent="0.25">
      <c r="A113" t="s">
        <v>363</v>
      </c>
      <c r="B113" t="s">
        <v>365</v>
      </c>
      <c r="C113" s="34">
        <v>44358</v>
      </c>
      <c r="D113" s="14">
        <v>2300</v>
      </c>
    </row>
    <row r="114" spans="1:4" x14ac:dyDescent="0.25">
      <c r="A114" t="s">
        <v>791</v>
      </c>
      <c r="B114" t="s">
        <v>790</v>
      </c>
      <c r="C114" s="34">
        <v>44358</v>
      </c>
      <c r="D114" s="14">
        <v>1702</v>
      </c>
    </row>
    <row r="115" spans="1:4" x14ac:dyDescent="0.25">
      <c r="A115" t="s">
        <v>1253</v>
      </c>
      <c r="B115" t="s">
        <v>1252</v>
      </c>
      <c r="C115" s="34">
        <v>44358</v>
      </c>
      <c r="D115" s="14">
        <v>415</v>
      </c>
    </row>
    <row r="116" spans="1:4" x14ac:dyDescent="0.25">
      <c r="A116" t="s">
        <v>554</v>
      </c>
      <c r="B116" t="s">
        <v>553</v>
      </c>
      <c r="C116" s="34">
        <v>44358</v>
      </c>
      <c r="D116" s="14">
        <v>419.64699999999999</v>
      </c>
    </row>
    <row r="117" spans="1:4" x14ac:dyDescent="0.25">
      <c r="A117" t="s">
        <v>961</v>
      </c>
      <c r="B117" t="s">
        <v>127</v>
      </c>
      <c r="C117" s="34">
        <v>44358</v>
      </c>
      <c r="D117" s="14">
        <v>1612.798</v>
      </c>
    </row>
    <row r="118" spans="1:4" x14ac:dyDescent="0.25">
      <c r="A118" t="s">
        <v>1059</v>
      </c>
      <c r="B118" t="s">
        <v>1058</v>
      </c>
      <c r="C118" s="34">
        <v>44358</v>
      </c>
      <c r="D118" s="14">
        <v>834.29200000000003</v>
      </c>
    </row>
    <row r="119" spans="1:4" x14ac:dyDescent="0.25">
      <c r="A119" t="s">
        <v>375</v>
      </c>
      <c r="B119" t="s">
        <v>379</v>
      </c>
      <c r="C119" s="34">
        <v>44358</v>
      </c>
      <c r="D119" s="14">
        <v>6097.7920000000004</v>
      </c>
    </row>
    <row r="120" spans="1:4" x14ac:dyDescent="0.25">
      <c r="A120" t="s">
        <v>757</v>
      </c>
      <c r="B120" t="s">
        <v>446</v>
      </c>
      <c r="C120" s="34">
        <v>44359</v>
      </c>
      <c r="D120" s="14">
        <v>674.83699999999999</v>
      </c>
    </row>
    <row r="121" spans="1:4" x14ac:dyDescent="0.25">
      <c r="A121" t="s">
        <v>797</v>
      </c>
      <c r="B121" t="s">
        <v>176</v>
      </c>
      <c r="C121" s="34">
        <v>44359</v>
      </c>
      <c r="D121" s="14">
        <v>1525.6849999999999</v>
      </c>
    </row>
    <row r="122" spans="1:4" x14ac:dyDescent="0.25">
      <c r="A122" t="s">
        <v>225</v>
      </c>
      <c r="B122" t="s">
        <v>122</v>
      </c>
      <c r="C122" s="34">
        <v>44359</v>
      </c>
      <c r="D122" s="14">
        <v>993.17899999999997</v>
      </c>
    </row>
    <row r="123" spans="1:4" x14ac:dyDescent="0.25">
      <c r="A123" t="s">
        <v>218</v>
      </c>
      <c r="B123" t="s">
        <v>219</v>
      </c>
      <c r="C123" s="34">
        <v>44359</v>
      </c>
      <c r="D123" s="14">
        <v>1500</v>
      </c>
    </row>
    <row r="124" spans="1:4" x14ac:dyDescent="0.25">
      <c r="A124" t="s">
        <v>749</v>
      </c>
      <c r="B124" t="s">
        <v>748</v>
      </c>
      <c r="C124" s="34">
        <v>44359</v>
      </c>
      <c r="D124" s="14">
        <v>756.33900000000006</v>
      </c>
    </row>
    <row r="125" spans="1:4" x14ac:dyDescent="0.25">
      <c r="A125" t="s">
        <v>848</v>
      </c>
      <c r="B125" t="s">
        <v>849</v>
      </c>
      <c r="C125" s="34">
        <v>44359</v>
      </c>
      <c r="D125" s="14">
        <v>178.089</v>
      </c>
    </row>
    <row r="126" spans="1:4" x14ac:dyDescent="0.25">
      <c r="A126" t="s">
        <v>756</v>
      </c>
      <c r="B126" t="s">
        <v>164</v>
      </c>
      <c r="C126" s="34">
        <v>44360</v>
      </c>
      <c r="D126" s="14">
        <v>1170</v>
      </c>
    </row>
    <row r="127" spans="1:4" x14ac:dyDescent="0.25">
      <c r="A127" t="s">
        <v>1369</v>
      </c>
      <c r="B127" t="s">
        <v>1368</v>
      </c>
      <c r="C127" s="34">
        <v>44360</v>
      </c>
      <c r="D127" s="14">
        <v>3599</v>
      </c>
    </row>
    <row r="128" spans="1:4" x14ac:dyDescent="0.25">
      <c r="A128" t="s">
        <v>513</v>
      </c>
      <c r="B128" t="s">
        <v>338</v>
      </c>
      <c r="C128" s="34">
        <v>44360</v>
      </c>
      <c r="D128" s="14">
        <v>3000</v>
      </c>
    </row>
    <row r="129" spans="1:4" x14ac:dyDescent="0.25">
      <c r="A129" t="s">
        <v>172</v>
      </c>
      <c r="B129" t="s">
        <v>173</v>
      </c>
      <c r="C129" s="34">
        <v>44361</v>
      </c>
      <c r="D129" s="14">
        <v>1500</v>
      </c>
    </row>
    <row r="130" spans="1:4" x14ac:dyDescent="0.25">
      <c r="A130" t="s">
        <v>152</v>
      </c>
      <c r="B130" t="s">
        <v>134</v>
      </c>
      <c r="C130" s="34">
        <v>44361</v>
      </c>
      <c r="D130" s="14">
        <v>2000</v>
      </c>
    </row>
    <row r="131" spans="1:4" x14ac:dyDescent="0.25">
      <c r="A131" t="s">
        <v>144</v>
      </c>
      <c r="B131" t="s">
        <v>145</v>
      </c>
      <c r="C131" s="34">
        <v>44361</v>
      </c>
      <c r="D131" s="14">
        <v>1100.5899999999999</v>
      </c>
    </row>
    <row r="132" spans="1:4" x14ac:dyDescent="0.25">
      <c r="A132" t="s">
        <v>1172</v>
      </c>
      <c r="B132" t="s">
        <v>147</v>
      </c>
      <c r="C132" s="34">
        <v>44361</v>
      </c>
      <c r="D132" s="14">
        <v>1360</v>
      </c>
    </row>
    <row r="133" spans="1:4" x14ac:dyDescent="0.25">
      <c r="A133" t="s">
        <v>521</v>
      </c>
      <c r="B133" t="s">
        <v>364</v>
      </c>
      <c r="C133" s="34">
        <v>44361</v>
      </c>
      <c r="D133" s="14">
        <v>3500</v>
      </c>
    </row>
    <row r="134" spans="1:4" x14ac:dyDescent="0.25">
      <c r="A134" t="s">
        <v>759</v>
      </c>
      <c r="B134" t="s">
        <v>758</v>
      </c>
      <c r="C134" s="34">
        <v>44362</v>
      </c>
      <c r="D134" s="14">
        <v>5612.7979999999998</v>
      </c>
    </row>
    <row r="135" spans="1:4" x14ac:dyDescent="0.25">
      <c r="A135" t="s">
        <v>161</v>
      </c>
      <c r="B135" t="s">
        <v>162</v>
      </c>
      <c r="C135" s="34">
        <v>44362</v>
      </c>
      <c r="D135" s="14">
        <v>4950</v>
      </c>
    </row>
    <row r="136" spans="1:4" x14ac:dyDescent="0.25">
      <c r="A136" t="s">
        <v>215</v>
      </c>
      <c r="B136" t="s">
        <v>346</v>
      </c>
      <c r="C136" s="34">
        <v>44362</v>
      </c>
      <c r="D136" s="14">
        <v>6163.5649999999996</v>
      </c>
    </row>
    <row r="137" spans="1:4" x14ac:dyDescent="0.25">
      <c r="A137" t="s">
        <v>155</v>
      </c>
      <c r="B137" t="s">
        <v>156</v>
      </c>
      <c r="C137" s="34">
        <v>44362</v>
      </c>
      <c r="D137" s="14">
        <v>3000</v>
      </c>
    </row>
    <row r="138" spans="1:4" x14ac:dyDescent="0.25">
      <c r="A138" t="s">
        <v>844</v>
      </c>
      <c r="B138" t="s">
        <v>845</v>
      </c>
      <c r="C138" s="34">
        <v>44362</v>
      </c>
      <c r="D138" s="14">
        <v>634.24599999999998</v>
      </c>
    </row>
    <row r="139" spans="1:4" x14ac:dyDescent="0.25">
      <c r="A139" t="s">
        <v>462</v>
      </c>
      <c r="B139" t="s">
        <v>213</v>
      </c>
      <c r="C139" s="34">
        <v>44362</v>
      </c>
      <c r="D139" s="14">
        <v>1747.854</v>
      </c>
    </row>
    <row r="140" spans="1:4" x14ac:dyDescent="0.25">
      <c r="A140" t="s">
        <v>431</v>
      </c>
      <c r="B140" t="s">
        <v>337</v>
      </c>
      <c r="C140" s="34">
        <v>44362</v>
      </c>
      <c r="D140" s="14">
        <v>7821.1869999999999</v>
      </c>
    </row>
    <row r="141" spans="1:4" x14ac:dyDescent="0.25">
      <c r="A141" t="s">
        <v>756</v>
      </c>
      <c r="B141" t="s">
        <v>164</v>
      </c>
      <c r="C141" s="34">
        <v>44362</v>
      </c>
      <c r="D141" s="14">
        <v>1165</v>
      </c>
    </row>
    <row r="142" spans="1:4" x14ac:dyDescent="0.25">
      <c r="A142" t="s">
        <v>319</v>
      </c>
      <c r="B142" t="s">
        <v>130</v>
      </c>
      <c r="C142" s="34">
        <v>44362</v>
      </c>
      <c r="D142" s="14">
        <v>5465.2969999999996</v>
      </c>
    </row>
    <row r="143" spans="1:4" x14ac:dyDescent="0.25">
      <c r="A143" t="s">
        <v>335</v>
      </c>
      <c r="B143" t="s">
        <v>208</v>
      </c>
      <c r="C143" s="34">
        <v>44362</v>
      </c>
      <c r="D143" s="14">
        <v>1224.057</v>
      </c>
    </row>
    <row r="144" spans="1:4" x14ac:dyDescent="0.25">
      <c r="A144" t="s">
        <v>386</v>
      </c>
      <c r="B144" t="s">
        <v>132</v>
      </c>
      <c r="C144" s="34">
        <v>44362</v>
      </c>
      <c r="D144" s="14">
        <v>3200</v>
      </c>
    </row>
    <row r="145" spans="1:4" x14ac:dyDescent="0.25">
      <c r="A145" t="s">
        <v>393</v>
      </c>
      <c r="B145" t="s">
        <v>150</v>
      </c>
      <c r="C145" s="34">
        <v>44362</v>
      </c>
      <c r="D145" s="14">
        <v>1493.385</v>
      </c>
    </row>
    <row r="146" spans="1:4" x14ac:dyDescent="0.25">
      <c r="A146" t="s">
        <v>898</v>
      </c>
      <c r="B146" t="s">
        <v>184</v>
      </c>
      <c r="C146" s="34">
        <v>44362</v>
      </c>
      <c r="D146" s="14">
        <v>1806.11</v>
      </c>
    </row>
    <row r="147" spans="1:4" x14ac:dyDescent="0.25">
      <c r="A147" t="s">
        <v>818</v>
      </c>
      <c r="B147" t="s">
        <v>817</v>
      </c>
      <c r="C147" s="34">
        <v>44362</v>
      </c>
      <c r="D147" s="14">
        <v>15000</v>
      </c>
    </row>
    <row r="148" spans="1:4" x14ac:dyDescent="0.25">
      <c r="A148" t="s">
        <v>386</v>
      </c>
      <c r="B148" t="s">
        <v>132</v>
      </c>
      <c r="C148" s="34">
        <v>44362</v>
      </c>
      <c r="D148" s="14">
        <v>2500</v>
      </c>
    </row>
    <row r="149" spans="1:4" x14ac:dyDescent="0.25">
      <c r="A149" t="s">
        <v>709</v>
      </c>
      <c r="B149" t="s">
        <v>226</v>
      </c>
      <c r="C149" s="34">
        <v>44362</v>
      </c>
      <c r="D149" s="14">
        <v>5805.683</v>
      </c>
    </row>
    <row r="150" spans="1:4" x14ac:dyDescent="0.25">
      <c r="A150" t="s">
        <v>882</v>
      </c>
      <c r="B150" t="s">
        <v>677</v>
      </c>
      <c r="C150" s="34">
        <v>44362</v>
      </c>
      <c r="D150" s="14">
        <v>1463.5920000000001</v>
      </c>
    </row>
    <row r="151" spans="1:4" x14ac:dyDescent="0.25">
      <c r="A151" t="s">
        <v>544</v>
      </c>
      <c r="B151" t="s">
        <v>304</v>
      </c>
      <c r="C151" s="34">
        <v>44362</v>
      </c>
      <c r="D151" s="14">
        <v>5340.9549999999999</v>
      </c>
    </row>
    <row r="152" spans="1:4" x14ac:dyDescent="0.25">
      <c r="A152" t="s">
        <v>739</v>
      </c>
      <c r="B152" t="s">
        <v>128</v>
      </c>
      <c r="C152" s="34">
        <v>44362</v>
      </c>
      <c r="D152" s="14">
        <v>1100.1610000000001</v>
      </c>
    </row>
    <row r="153" spans="1:4" x14ac:dyDescent="0.25">
      <c r="A153" t="s">
        <v>1035</v>
      </c>
      <c r="B153" t="s">
        <v>1034</v>
      </c>
      <c r="C153" s="34">
        <v>44362</v>
      </c>
      <c r="D153" s="14">
        <v>802.69</v>
      </c>
    </row>
    <row r="154" spans="1:4" x14ac:dyDescent="0.25">
      <c r="A154" t="s">
        <v>1033</v>
      </c>
      <c r="B154" t="s">
        <v>1032</v>
      </c>
      <c r="C154" s="34">
        <v>44362</v>
      </c>
      <c r="D154" s="14">
        <v>2778.6550000000002</v>
      </c>
    </row>
    <row r="155" spans="1:4" x14ac:dyDescent="0.25">
      <c r="A155" t="s">
        <v>1257</v>
      </c>
      <c r="B155" t="s">
        <v>1256</v>
      </c>
      <c r="C155" s="34">
        <v>44362</v>
      </c>
      <c r="D155" s="14">
        <v>569.44399999999996</v>
      </c>
    </row>
    <row r="156" spans="1:4" x14ac:dyDescent="0.25">
      <c r="A156" t="s">
        <v>831</v>
      </c>
      <c r="B156" t="s">
        <v>830</v>
      </c>
      <c r="C156" s="34">
        <v>44362</v>
      </c>
      <c r="D156" s="14">
        <v>261.221</v>
      </c>
    </row>
    <row r="157" spans="1:4" x14ac:dyDescent="0.25">
      <c r="A157" t="s">
        <v>1255</v>
      </c>
      <c r="B157" t="s">
        <v>1254</v>
      </c>
      <c r="C157" s="34">
        <v>44362</v>
      </c>
      <c r="D157" s="14">
        <v>474.64800000000002</v>
      </c>
    </row>
    <row r="158" spans="1:4" x14ac:dyDescent="0.25">
      <c r="A158" t="s">
        <v>1285</v>
      </c>
      <c r="B158" t="s">
        <v>1284</v>
      </c>
      <c r="C158" s="34">
        <v>44362</v>
      </c>
      <c r="D158" s="14">
        <v>6195.3329999999996</v>
      </c>
    </row>
    <row r="159" spans="1:4" x14ac:dyDescent="0.25">
      <c r="A159" t="s">
        <v>1283</v>
      </c>
      <c r="B159" t="s">
        <v>1282</v>
      </c>
      <c r="C159" s="34">
        <v>44362</v>
      </c>
      <c r="D159" s="14">
        <v>206.351</v>
      </c>
    </row>
    <row r="160" spans="1:4" x14ac:dyDescent="0.25">
      <c r="A160" t="s">
        <v>340</v>
      </c>
      <c r="B160" t="s">
        <v>188</v>
      </c>
      <c r="C160" s="34">
        <v>44362</v>
      </c>
      <c r="D160" s="14">
        <v>112.46</v>
      </c>
    </row>
    <row r="161" spans="1:4" x14ac:dyDescent="0.25">
      <c r="A161" t="s">
        <v>1136</v>
      </c>
      <c r="B161" t="s">
        <v>1135</v>
      </c>
      <c r="C161" s="34">
        <v>44362</v>
      </c>
      <c r="D161" s="14">
        <v>207</v>
      </c>
    </row>
    <row r="162" spans="1:4" x14ac:dyDescent="0.25">
      <c r="A162" t="s">
        <v>153</v>
      </c>
      <c r="B162" t="s">
        <v>154</v>
      </c>
      <c r="C162" s="34">
        <v>44362</v>
      </c>
      <c r="D162" s="14">
        <v>840</v>
      </c>
    </row>
    <row r="163" spans="1:4" x14ac:dyDescent="0.25">
      <c r="A163" t="s">
        <v>444</v>
      </c>
      <c r="B163" t="s">
        <v>443</v>
      </c>
      <c r="C163" s="34">
        <v>44362</v>
      </c>
      <c r="D163" s="14">
        <v>505.93400000000003</v>
      </c>
    </row>
    <row r="164" spans="1:4" x14ac:dyDescent="0.25">
      <c r="A164" t="s">
        <v>153</v>
      </c>
      <c r="B164" t="s">
        <v>154</v>
      </c>
      <c r="C164" s="34">
        <v>44362</v>
      </c>
      <c r="D164" s="14">
        <v>870</v>
      </c>
    </row>
    <row r="165" spans="1:4" x14ac:dyDescent="0.25">
      <c r="A165" t="s">
        <v>385</v>
      </c>
      <c r="B165" t="s">
        <v>384</v>
      </c>
      <c r="C165" s="34">
        <v>44362</v>
      </c>
      <c r="D165" s="14">
        <v>1041.7940000000001</v>
      </c>
    </row>
    <row r="166" spans="1:4" x14ac:dyDescent="0.25">
      <c r="A166" t="s">
        <v>793</v>
      </c>
      <c r="B166" t="s">
        <v>792</v>
      </c>
      <c r="C166" s="34">
        <v>44362</v>
      </c>
      <c r="D166" s="14">
        <v>1750</v>
      </c>
    </row>
    <row r="167" spans="1:4" x14ac:dyDescent="0.25">
      <c r="A167" t="s">
        <v>385</v>
      </c>
      <c r="B167" t="s">
        <v>384</v>
      </c>
      <c r="C167" s="34">
        <v>44362</v>
      </c>
      <c r="D167" s="14">
        <v>1000</v>
      </c>
    </row>
    <row r="168" spans="1:4" x14ac:dyDescent="0.25">
      <c r="A168" t="s">
        <v>493</v>
      </c>
      <c r="B168" t="s">
        <v>492</v>
      </c>
      <c r="C168" s="34">
        <v>44362</v>
      </c>
      <c r="D168" s="14">
        <v>7685.5469999999996</v>
      </c>
    </row>
    <row r="169" spans="1:4" x14ac:dyDescent="0.25">
      <c r="A169" t="s">
        <v>681</v>
      </c>
      <c r="B169" t="s">
        <v>680</v>
      </c>
      <c r="C169" s="34">
        <v>44362</v>
      </c>
      <c r="D169" s="14">
        <v>543.09400000000005</v>
      </c>
    </row>
    <row r="170" spans="1:4" x14ac:dyDescent="0.25">
      <c r="A170" t="s">
        <v>868</v>
      </c>
      <c r="B170" t="s">
        <v>867</v>
      </c>
      <c r="C170" s="34">
        <v>44362</v>
      </c>
      <c r="D170" s="14">
        <v>6000</v>
      </c>
    </row>
    <row r="171" spans="1:4" x14ac:dyDescent="0.25">
      <c r="A171" t="s">
        <v>168</v>
      </c>
      <c r="B171" t="s">
        <v>169</v>
      </c>
      <c r="C171" s="34">
        <v>44362</v>
      </c>
      <c r="D171" s="14">
        <v>1270.5170000000001</v>
      </c>
    </row>
    <row r="172" spans="1:4" x14ac:dyDescent="0.25">
      <c r="A172" t="s">
        <v>218</v>
      </c>
      <c r="B172" t="s">
        <v>219</v>
      </c>
      <c r="C172" s="34">
        <v>44362</v>
      </c>
      <c r="D172" s="14">
        <v>1500</v>
      </c>
    </row>
    <row r="173" spans="1:4" x14ac:dyDescent="0.25">
      <c r="A173" t="s">
        <v>493</v>
      </c>
      <c r="B173" t="s">
        <v>492</v>
      </c>
      <c r="C173" s="34">
        <v>44362</v>
      </c>
      <c r="D173" s="14">
        <v>595.80799999999999</v>
      </c>
    </row>
    <row r="174" spans="1:4" x14ac:dyDescent="0.25">
      <c r="A174" t="s">
        <v>1363</v>
      </c>
      <c r="B174" t="s">
        <v>1362</v>
      </c>
      <c r="C174" s="34">
        <v>44362</v>
      </c>
      <c r="D174" s="14">
        <v>909.82500000000005</v>
      </c>
    </row>
    <row r="175" spans="1:4" x14ac:dyDescent="0.25">
      <c r="A175" t="s">
        <v>389</v>
      </c>
      <c r="B175" t="s">
        <v>242</v>
      </c>
      <c r="C175" s="34">
        <v>44362</v>
      </c>
      <c r="D175" s="14">
        <v>3500</v>
      </c>
    </row>
    <row r="176" spans="1:4" x14ac:dyDescent="0.25">
      <c r="A176" t="s">
        <v>520</v>
      </c>
      <c r="B176" t="s">
        <v>360</v>
      </c>
      <c r="C176" s="34">
        <v>44362</v>
      </c>
      <c r="D176" s="14">
        <v>796.55799999999999</v>
      </c>
    </row>
    <row r="177" spans="1:4" x14ac:dyDescent="0.25">
      <c r="A177" t="s">
        <v>520</v>
      </c>
      <c r="B177" t="s">
        <v>360</v>
      </c>
      <c r="C177" s="34">
        <v>44362</v>
      </c>
      <c r="D177" s="14">
        <v>950</v>
      </c>
    </row>
    <row r="178" spans="1:4" x14ac:dyDescent="0.25">
      <c r="A178" t="s">
        <v>520</v>
      </c>
      <c r="B178" t="s">
        <v>360</v>
      </c>
      <c r="C178" s="34">
        <v>44362</v>
      </c>
      <c r="D178" s="14">
        <v>950</v>
      </c>
    </row>
    <row r="179" spans="1:4" x14ac:dyDescent="0.25">
      <c r="A179" t="s">
        <v>520</v>
      </c>
      <c r="B179" t="s">
        <v>360</v>
      </c>
      <c r="C179" s="34">
        <v>44362</v>
      </c>
      <c r="D179" s="14">
        <v>950</v>
      </c>
    </row>
    <row r="180" spans="1:4" x14ac:dyDescent="0.25">
      <c r="A180" t="s">
        <v>1017</v>
      </c>
      <c r="B180" t="s">
        <v>932</v>
      </c>
      <c r="C180" s="34">
        <v>44362</v>
      </c>
      <c r="D180" s="14">
        <v>2029.4590000000001</v>
      </c>
    </row>
    <row r="181" spans="1:4" x14ac:dyDescent="0.25">
      <c r="A181" t="s">
        <v>935</v>
      </c>
      <c r="B181" t="s">
        <v>934</v>
      </c>
      <c r="C181" s="34">
        <v>44362</v>
      </c>
      <c r="D181" s="14">
        <v>912.38400000000001</v>
      </c>
    </row>
    <row r="182" spans="1:4" x14ac:dyDescent="0.25">
      <c r="A182" t="s">
        <v>1037</v>
      </c>
      <c r="B182" t="s">
        <v>1036</v>
      </c>
      <c r="C182" s="34">
        <v>44362</v>
      </c>
      <c r="D182" s="14">
        <v>1128.1600000000001</v>
      </c>
    </row>
    <row r="183" spans="1:4" x14ac:dyDescent="0.25">
      <c r="A183" t="s">
        <v>1367</v>
      </c>
      <c r="B183" t="s">
        <v>1366</v>
      </c>
      <c r="C183" s="34">
        <v>44362</v>
      </c>
      <c r="D183" s="14">
        <v>687.37900000000002</v>
      </c>
    </row>
    <row r="184" spans="1:4" x14ac:dyDescent="0.25">
      <c r="A184" t="s">
        <v>960</v>
      </c>
      <c r="B184" t="s">
        <v>471</v>
      </c>
      <c r="C184" s="34">
        <v>44362</v>
      </c>
      <c r="D184" s="14">
        <v>4012.2539999999999</v>
      </c>
    </row>
    <row r="185" spans="1:4" x14ac:dyDescent="0.25">
      <c r="A185" t="s">
        <v>120</v>
      </c>
      <c r="B185" t="s">
        <v>121</v>
      </c>
      <c r="C185" s="34">
        <v>44362</v>
      </c>
      <c r="D185" s="14">
        <v>2000</v>
      </c>
    </row>
    <row r="186" spans="1:4" x14ac:dyDescent="0.25">
      <c r="A186" t="s">
        <v>713</v>
      </c>
      <c r="B186" t="s">
        <v>819</v>
      </c>
      <c r="C186" s="34">
        <v>44362</v>
      </c>
      <c r="D186" s="14">
        <v>6020.9210000000003</v>
      </c>
    </row>
    <row r="187" spans="1:4" x14ac:dyDescent="0.25">
      <c r="A187" t="s">
        <v>261</v>
      </c>
      <c r="B187" t="s">
        <v>262</v>
      </c>
      <c r="C187" s="34">
        <v>44362</v>
      </c>
      <c r="D187" s="14">
        <v>2336</v>
      </c>
    </row>
    <row r="188" spans="1:4" x14ac:dyDescent="0.25">
      <c r="A188" t="s">
        <v>142</v>
      </c>
      <c r="B188" t="s">
        <v>143</v>
      </c>
      <c r="C188" s="34">
        <v>44362</v>
      </c>
      <c r="D188" s="14">
        <v>1032</v>
      </c>
    </row>
    <row r="189" spans="1:4" x14ac:dyDescent="0.25">
      <c r="A189" t="s">
        <v>314</v>
      </c>
      <c r="B189" t="s">
        <v>313</v>
      </c>
      <c r="C189" s="34">
        <v>44362</v>
      </c>
      <c r="D189" s="14">
        <v>4000</v>
      </c>
    </row>
    <row r="190" spans="1:4" x14ac:dyDescent="0.25">
      <c r="A190" t="s">
        <v>460</v>
      </c>
      <c r="B190" t="s">
        <v>976</v>
      </c>
      <c r="C190" s="34">
        <v>44363</v>
      </c>
      <c r="D190" s="14">
        <v>9943.6849999999995</v>
      </c>
    </row>
    <row r="191" spans="1:4" x14ac:dyDescent="0.25">
      <c r="A191" t="s">
        <v>751</v>
      </c>
      <c r="B191" t="s">
        <v>750</v>
      </c>
      <c r="C191" s="34">
        <v>44363</v>
      </c>
      <c r="D191" s="14">
        <v>1500</v>
      </c>
    </row>
    <row r="192" spans="1:4" x14ac:dyDescent="0.25">
      <c r="A192" t="s">
        <v>126</v>
      </c>
      <c r="B192" t="s">
        <v>127</v>
      </c>
      <c r="C192" s="34">
        <v>44363</v>
      </c>
      <c r="D192" s="14">
        <v>2000</v>
      </c>
    </row>
    <row r="193" spans="1:4" x14ac:dyDescent="0.25">
      <c r="A193" t="s">
        <v>632</v>
      </c>
      <c r="B193" t="s">
        <v>631</v>
      </c>
      <c r="C193" s="34">
        <v>44363</v>
      </c>
      <c r="D193" s="14">
        <v>2000</v>
      </c>
    </row>
    <row r="194" spans="1:4" x14ac:dyDescent="0.25">
      <c r="A194" t="s">
        <v>211</v>
      </c>
      <c r="B194" t="s">
        <v>212</v>
      </c>
      <c r="C194" s="34">
        <v>44364</v>
      </c>
      <c r="D194" s="14">
        <v>1000</v>
      </c>
    </row>
    <row r="195" spans="1:4" x14ac:dyDescent="0.25">
      <c r="A195" t="s">
        <v>148</v>
      </c>
      <c r="B195" t="s">
        <v>149</v>
      </c>
      <c r="C195" s="34">
        <v>44364</v>
      </c>
      <c r="D195" s="14">
        <v>4650</v>
      </c>
    </row>
    <row r="196" spans="1:4" x14ac:dyDescent="0.25">
      <c r="A196" t="s">
        <v>172</v>
      </c>
      <c r="B196" t="s">
        <v>173</v>
      </c>
      <c r="C196" s="34">
        <v>44364</v>
      </c>
      <c r="D196" s="14">
        <v>1763.143</v>
      </c>
    </row>
    <row r="197" spans="1:4" x14ac:dyDescent="0.25">
      <c r="A197" t="s">
        <v>756</v>
      </c>
      <c r="B197" t="s">
        <v>164</v>
      </c>
      <c r="C197" s="34">
        <v>44364</v>
      </c>
      <c r="D197" s="14">
        <v>1033.58</v>
      </c>
    </row>
    <row r="198" spans="1:4" x14ac:dyDescent="0.25">
      <c r="A198" t="s">
        <v>906</v>
      </c>
      <c r="B198" t="s">
        <v>905</v>
      </c>
      <c r="C198" s="34">
        <v>44364</v>
      </c>
      <c r="D198" s="14">
        <v>475.74299999999999</v>
      </c>
    </row>
    <row r="199" spans="1:4" x14ac:dyDescent="0.25">
      <c r="A199" t="s">
        <v>1171</v>
      </c>
      <c r="B199" t="s">
        <v>1170</v>
      </c>
      <c r="C199" s="34">
        <v>44364</v>
      </c>
      <c r="D199" s="14">
        <v>524.94399999999996</v>
      </c>
    </row>
    <row r="200" spans="1:4" x14ac:dyDescent="0.25">
      <c r="A200" t="s">
        <v>495</v>
      </c>
      <c r="B200" t="s">
        <v>494</v>
      </c>
      <c r="C200" s="34">
        <v>44364</v>
      </c>
      <c r="D200" s="14">
        <v>1072.317</v>
      </c>
    </row>
    <row r="201" spans="1:4" x14ac:dyDescent="0.25">
      <c r="A201" t="s">
        <v>795</v>
      </c>
      <c r="B201" t="s">
        <v>794</v>
      </c>
      <c r="C201" s="34">
        <v>44364</v>
      </c>
      <c r="D201" s="14">
        <v>4000</v>
      </c>
    </row>
    <row r="202" spans="1:4" x14ac:dyDescent="0.25">
      <c r="A202" t="s">
        <v>216</v>
      </c>
      <c r="B202" t="s">
        <v>217</v>
      </c>
      <c r="C202" s="34">
        <v>44365</v>
      </c>
      <c r="D202" s="14">
        <v>5000</v>
      </c>
    </row>
    <row r="203" spans="1:4" x14ac:dyDescent="0.25">
      <c r="A203" t="s">
        <v>161</v>
      </c>
      <c r="B203" t="s">
        <v>162</v>
      </c>
      <c r="C203" s="34">
        <v>44365</v>
      </c>
      <c r="D203" s="14">
        <v>4950</v>
      </c>
    </row>
    <row r="204" spans="1:4" x14ac:dyDescent="0.25">
      <c r="A204" t="s">
        <v>353</v>
      </c>
      <c r="B204" t="s">
        <v>164</v>
      </c>
      <c r="C204" s="34">
        <v>44365</v>
      </c>
      <c r="D204" s="14">
        <v>705.04499999999996</v>
      </c>
    </row>
    <row r="205" spans="1:4" x14ac:dyDescent="0.25">
      <c r="A205" t="s">
        <v>1001</v>
      </c>
      <c r="B205" t="s">
        <v>1000</v>
      </c>
      <c r="C205" s="34">
        <v>44365</v>
      </c>
      <c r="D205" s="14">
        <v>1019.388</v>
      </c>
    </row>
    <row r="206" spans="1:4" x14ac:dyDescent="0.25">
      <c r="A206" t="s">
        <v>1253</v>
      </c>
      <c r="B206" t="s">
        <v>1252</v>
      </c>
      <c r="C206" s="34">
        <v>44365</v>
      </c>
      <c r="D206" s="14">
        <v>415</v>
      </c>
    </row>
    <row r="207" spans="1:4" x14ac:dyDescent="0.25">
      <c r="A207" t="s">
        <v>363</v>
      </c>
      <c r="B207" t="s">
        <v>365</v>
      </c>
      <c r="C207" s="34">
        <v>44365</v>
      </c>
      <c r="D207" s="14">
        <v>1830.0730000000001</v>
      </c>
    </row>
    <row r="208" spans="1:4" x14ac:dyDescent="0.25">
      <c r="A208" t="s">
        <v>1099</v>
      </c>
      <c r="B208" t="s">
        <v>470</v>
      </c>
      <c r="C208" s="34">
        <v>44365</v>
      </c>
      <c r="D208" s="14">
        <v>1650</v>
      </c>
    </row>
    <row r="209" spans="1:4" x14ac:dyDescent="0.25">
      <c r="A209" t="s">
        <v>200</v>
      </c>
      <c r="B209" t="s">
        <v>201</v>
      </c>
      <c r="C209" s="34">
        <v>44365</v>
      </c>
      <c r="D209" s="14">
        <v>4196.1620000000003</v>
      </c>
    </row>
    <row r="210" spans="1:4" x14ac:dyDescent="0.25">
      <c r="A210" t="s">
        <v>550</v>
      </c>
      <c r="B210" t="s">
        <v>220</v>
      </c>
      <c r="C210" s="34">
        <v>44366</v>
      </c>
      <c r="D210" s="14">
        <v>1000</v>
      </c>
    </row>
    <row r="211" spans="1:4" x14ac:dyDescent="0.25">
      <c r="A211" t="s">
        <v>144</v>
      </c>
      <c r="B211" t="s">
        <v>145</v>
      </c>
      <c r="C211" s="34">
        <v>44366</v>
      </c>
      <c r="D211" s="14">
        <v>1100.5899999999999</v>
      </c>
    </row>
    <row r="212" spans="1:4" x14ac:dyDescent="0.25">
      <c r="A212" t="s">
        <v>1136</v>
      </c>
      <c r="B212" t="s">
        <v>1135</v>
      </c>
      <c r="C212" s="34">
        <v>44366</v>
      </c>
      <c r="D212" s="14">
        <v>396</v>
      </c>
    </row>
    <row r="213" spans="1:4" x14ac:dyDescent="0.25">
      <c r="A213" t="s">
        <v>1136</v>
      </c>
      <c r="B213" t="s">
        <v>1135</v>
      </c>
      <c r="C213" s="34">
        <v>44366</v>
      </c>
      <c r="D213" s="14">
        <v>215</v>
      </c>
    </row>
    <row r="214" spans="1:4" x14ac:dyDescent="0.25">
      <c r="A214" t="s">
        <v>569</v>
      </c>
      <c r="B214" t="s">
        <v>568</v>
      </c>
      <c r="C214" s="34">
        <v>44366</v>
      </c>
      <c r="D214" s="14">
        <v>700</v>
      </c>
    </row>
    <row r="215" spans="1:4" x14ac:dyDescent="0.25">
      <c r="A215" t="s">
        <v>155</v>
      </c>
      <c r="B215" t="s">
        <v>156</v>
      </c>
      <c r="C215" s="34">
        <v>44367</v>
      </c>
      <c r="D215" s="14">
        <v>3000</v>
      </c>
    </row>
    <row r="216" spans="1:4" x14ac:dyDescent="0.25">
      <c r="A216" t="s">
        <v>509</v>
      </c>
      <c r="B216" t="s">
        <v>508</v>
      </c>
      <c r="C216" s="34">
        <v>44367</v>
      </c>
      <c r="D216" s="14">
        <v>1700</v>
      </c>
    </row>
    <row r="217" spans="1:4" x14ac:dyDescent="0.25">
      <c r="A217" t="s">
        <v>437</v>
      </c>
      <c r="B217" t="s">
        <v>436</v>
      </c>
      <c r="C217" s="34">
        <v>44367</v>
      </c>
      <c r="D217" s="14">
        <v>1785.152</v>
      </c>
    </row>
    <row r="218" spans="1:4" x14ac:dyDescent="0.25">
      <c r="A218" t="s">
        <v>170</v>
      </c>
      <c r="B218" t="s">
        <v>171</v>
      </c>
      <c r="C218" s="34">
        <v>44367</v>
      </c>
      <c r="D218" s="14">
        <v>4500</v>
      </c>
    </row>
    <row r="219" spans="1:4" x14ac:dyDescent="0.25">
      <c r="A219" t="s">
        <v>924</v>
      </c>
      <c r="B219" t="s">
        <v>923</v>
      </c>
      <c r="C219" s="34">
        <v>44367</v>
      </c>
      <c r="D219" s="14">
        <v>301</v>
      </c>
    </row>
    <row r="220" spans="1:4" x14ac:dyDescent="0.25">
      <c r="A220" t="s">
        <v>853</v>
      </c>
      <c r="B220" t="s">
        <v>779</v>
      </c>
      <c r="C220" s="34">
        <v>44367</v>
      </c>
      <c r="D220" s="14">
        <v>1450.393</v>
      </c>
    </row>
    <row r="221" spans="1:4" x14ac:dyDescent="0.25">
      <c r="A221" t="s">
        <v>954</v>
      </c>
      <c r="B221" t="s">
        <v>447</v>
      </c>
      <c r="C221" s="34">
        <v>44367</v>
      </c>
      <c r="D221" s="14">
        <v>600</v>
      </c>
    </row>
    <row r="222" spans="1:4" x14ac:dyDescent="0.25">
      <c r="A222" t="s">
        <v>952</v>
      </c>
      <c r="B222" t="s">
        <v>134</v>
      </c>
      <c r="C222" s="34">
        <v>44367</v>
      </c>
      <c r="D222" s="14">
        <v>945</v>
      </c>
    </row>
    <row r="223" spans="1:4" x14ac:dyDescent="0.25">
      <c r="A223" t="s">
        <v>958</v>
      </c>
      <c r="B223" t="s">
        <v>203</v>
      </c>
      <c r="C223" s="34">
        <v>44367</v>
      </c>
      <c r="D223" s="14">
        <v>10326.075999999999</v>
      </c>
    </row>
    <row r="224" spans="1:4" x14ac:dyDescent="0.25">
      <c r="A224" t="s">
        <v>959</v>
      </c>
      <c r="B224" t="s">
        <v>238</v>
      </c>
      <c r="C224" s="34">
        <v>44367</v>
      </c>
      <c r="D224" s="14">
        <v>11493.762000000001</v>
      </c>
    </row>
    <row r="225" spans="1:4" x14ac:dyDescent="0.25">
      <c r="A225" t="s">
        <v>546</v>
      </c>
      <c r="B225" t="s">
        <v>466</v>
      </c>
      <c r="C225" s="34">
        <v>44367</v>
      </c>
      <c r="D225" s="14">
        <v>688.87599999999998</v>
      </c>
    </row>
    <row r="226" spans="1:4" x14ac:dyDescent="0.25">
      <c r="A226" t="s">
        <v>1075</v>
      </c>
      <c r="B226" t="s">
        <v>1074</v>
      </c>
      <c r="C226" s="34">
        <v>44367</v>
      </c>
      <c r="D226" s="14">
        <v>1753.107</v>
      </c>
    </row>
    <row r="227" spans="1:4" x14ac:dyDescent="0.25">
      <c r="A227" t="s">
        <v>1061</v>
      </c>
      <c r="B227" t="s">
        <v>1060</v>
      </c>
      <c r="C227" s="34">
        <v>44367</v>
      </c>
      <c r="D227" s="14">
        <v>254.4</v>
      </c>
    </row>
    <row r="228" spans="1:4" x14ac:dyDescent="0.25">
      <c r="A228" t="s">
        <v>1136</v>
      </c>
      <c r="B228" t="s">
        <v>1135</v>
      </c>
      <c r="C228" s="34">
        <v>44367</v>
      </c>
      <c r="D228" s="14">
        <v>300</v>
      </c>
    </row>
    <row r="229" spans="1:4" x14ac:dyDescent="0.25">
      <c r="A229" t="s">
        <v>153</v>
      </c>
      <c r="B229" t="s">
        <v>154</v>
      </c>
      <c r="C229" s="34">
        <v>44367</v>
      </c>
      <c r="D229" s="14">
        <v>840</v>
      </c>
    </row>
    <row r="230" spans="1:4" x14ac:dyDescent="0.25">
      <c r="A230" t="s">
        <v>153</v>
      </c>
      <c r="B230" t="s">
        <v>154</v>
      </c>
      <c r="C230" s="34">
        <v>44367</v>
      </c>
      <c r="D230" s="14">
        <v>870</v>
      </c>
    </row>
    <row r="231" spans="1:4" x14ac:dyDescent="0.25">
      <c r="A231" t="s">
        <v>879</v>
      </c>
      <c r="B231" t="s">
        <v>878</v>
      </c>
      <c r="C231" s="34">
        <v>44367</v>
      </c>
      <c r="D231" s="14">
        <v>1300</v>
      </c>
    </row>
    <row r="232" spans="1:4" x14ac:dyDescent="0.25">
      <c r="A232" t="s">
        <v>385</v>
      </c>
      <c r="B232" t="s">
        <v>384</v>
      </c>
      <c r="C232" s="34">
        <v>44367</v>
      </c>
      <c r="D232" s="14">
        <v>1000</v>
      </c>
    </row>
    <row r="233" spans="1:4" x14ac:dyDescent="0.25">
      <c r="A233" t="s">
        <v>194</v>
      </c>
      <c r="B233" t="s">
        <v>195</v>
      </c>
      <c r="C233" s="34">
        <v>44367</v>
      </c>
      <c r="D233" s="14">
        <v>1000</v>
      </c>
    </row>
    <row r="234" spans="1:4" x14ac:dyDescent="0.25">
      <c r="A234" t="s">
        <v>793</v>
      </c>
      <c r="B234" t="s">
        <v>792</v>
      </c>
      <c r="C234" s="34">
        <v>44367</v>
      </c>
      <c r="D234" s="14">
        <v>1350</v>
      </c>
    </row>
    <row r="235" spans="1:4" x14ac:dyDescent="0.25">
      <c r="A235" t="s">
        <v>168</v>
      </c>
      <c r="B235" t="s">
        <v>169</v>
      </c>
      <c r="C235" s="34">
        <v>44367</v>
      </c>
      <c r="D235" s="14">
        <v>1270.5170000000001</v>
      </c>
    </row>
    <row r="236" spans="1:4" x14ac:dyDescent="0.25">
      <c r="A236" t="s">
        <v>218</v>
      </c>
      <c r="B236" t="s">
        <v>219</v>
      </c>
      <c r="C236" s="34">
        <v>44367</v>
      </c>
      <c r="D236" s="14">
        <v>1500</v>
      </c>
    </row>
    <row r="237" spans="1:4" x14ac:dyDescent="0.25">
      <c r="A237" t="s">
        <v>520</v>
      </c>
      <c r="B237" t="s">
        <v>360</v>
      </c>
      <c r="C237" s="34">
        <v>44367</v>
      </c>
      <c r="D237" s="14">
        <v>950</v>
      </c>
    </row>
    <row r="238" spans="1:4" x14ac:dyDescent="0.25">
      <c r="A238" t="s">
        <v>520</v>
      </c>
      <c r="B238" t="s">
        <v>360</v>
      </c>
      <c r="C238" s="34">
        <v>44367</v>
      </c>
      <c r="D238" s="14">
        <v>950</v>
      </c>
    </row>
    <row r="239" spans="1:4" x14ac:dyDescent="0.25">
      <c r="A239" t="s">
        <v>520</v>
      </c>
      <c r="B239" t="s">
        <v>360</v>
      </c>
      <c r="C239" s="34">
        <v>44367</v>
      </c>
      <c r="D239" s="14">
        <v>950</v>
      </c>
    </row>
    <row r="240" spans="1:4" x14ac:dyDescent="0.25">
      <c r="A240" t="s">
        <v>513</v>
      </c>
      <c r="B240" t="s">
        <v>338</v>
      </c>
      <c r="C240" s="34">
        <v>44367</v>
      </c>
      <c r="D240" s="14">
        <v>3614.2260000000001</v>
      </c>
    </row>
    <row r="241" spans="1:4" x14ac:dyDescent="0.25">
      <c r="A241" t="s">
        <v>843</v>
      </c>
      <c r="B241" t="s">
        <v>522</v>
      </c>
      <c r="C241" s="34">
        <v>44367</v>
      </c>
      <c r="D241" s="14">
        <v>1695.768</v>
      </c>
    </row>
    <row r="242" spans="1:4" x14ac:dyDescent="0.25">
      <c r="A242" t="s">
        <v>261</v>
      </c>
      <c r="B242" t="s">
        <v>262</v>
      </c>
      <c r="C242" s="34">
        <v>44367</v>
      </c>
      <c r="D242" s="14">
        <v>2336</v>
      </c>
    </row>
    <row r="243" spans="1:4" x14ac:dyDescent="0.25">
      <c r="A243" t="s">
        <v>142</v>
      </c>
      <c r="B243" t="s">
        <v>143</v>
      </c>
      <c r="C243" s="34">
        <v>44367</v>
      </c>
      <c r="D243" s="14">
        <v>1050.5820000000001</v>
      </c>
    </row>
    <row r="244" spans="1:4" x14ac:dyDescent="0.25">
      <c r="A244" t="s">
        <v>140</v>
      </c>
      <c r="B244" t="s">
        <v>141</v>
      </c>
      <c r="C244" s="34">
        <v>44367</v>
      </c>
      <c r="D244" s="14">
        <v>1380.04</v>
      </c>
    </row>
    <row r="245" spans="1:4" x14ac:dyDescent="0.25">
      <c r="A245" t="s">
        <v>791</v>
      </c>
      <c r="B245" t="s">
        <v>790</v>
      </c>
      <c r="C245" s="34">
        <v>44368</v>
      </c>
      <c r="D245" s="14">
        <v>1703.1859999999999</v>
      </c>
    </row>
    <row r="246" spans="1:4" x14ac:dyDescent="0.25">
      <c r="A246" t="s">
        <v>353</v>
      </c>
      <c r="B246" t="s">
        <v>164</v>
      </c>
      <c r="C246" s="34">
        <v>44368</v>
      </c>
      <c r="D246" s="14">
        <v>930</v>
      </c>
    </row>
    <row r="247" spans="1:4" x14ac:dyDescent="0.25">
      <c r="A247" t="s">
        <v>1149</v>
      </c>
      <c r="B247" t="s">
        <v>1148</v>
      </c>
      <c r="C247" s="34">
        <v>44368</v>
      </c>
      <c r="D247" s="14">
        <v>1202</v>
      </c>
    </row>
    <row r="248" spans="1:4" x14ac:dyDescent="0.25">
      <c r="A248" t="s">
        <v>161</v>
      </c>
      <c r="B248" t="s">
        <v>162</v>
      </c>
      <c r="C248" s="34">
        <v>44369</v>
      </c>
      <c r="D248" s="14">
        <v>4950</v>
      </c>
    </row>
    <row r="249" spans="1:4" x14ac:dyDescent="0.25">
      <c r="A249" t="s">
        <v>301</v>
      </c>
      <c r="B249" t="s">
        <v>227</v>
      </c>
      <c r="C249" s="34">
        <v>44369</v>
      </c>
      <c r="D249" s="14">
        <v>1849.1010000000001</v>
      </c>
    </row>
    <row r="250" spans="1:4" x14ac:dyDescent="0.25">
      <c r="A250" t="s">
        <v>793</v>
      </c>
      <c r="B250" t="s">
        <v>792</v>
      </c>
      <c r="C250" s="34">
        <v>44369</v>
      </c>
      <c r="D250" s="14">
        <v>1750</v>
      </c>
    </row>
    <row r="251" spans="1:4" x14ac:dyDescent="0.25">
      <c r="A251" t="s">
        <v>865</v>
      </c>
      <c r="B251" t="s">
        <v>864</v>
      </c>
      <c r="C251" s="34">
        <v>44369</v>
      </c>
      <c r="D251" s="14">
        <v>1227.703</v>
      </c>
    </row>
    <row r="252" spans="1:4" x14ac:dyDescent="0.25">
      <c r="A252" t="s">
        <v>521</v>
      </c>
      <c r="B252" t="s">
        <v>364</v>
      </c>
      <c r="C252" s="34">
        <v>44369</v>
      </c>
      <c r="D252" s="14">
        <v>4051.8330000000001</v>
      </c>
    </row>
    <row r="253" spans="1:4" x14ac:dyDescent="0.25">
      <c r="A253" t="s">
        <v>172</v>
      </c>
      <c r="B253" t="s">
        <v>173</v>
      </c>
      <c r="C253" s="34">
        <v>44370</v>
      </c>
      <c r="D253" s="14">
        <v>1500</v>
      </c>
    </row>
    <row r="254" spans="1:4" x14ac:dyDescent="0.25">
      <c r="A254" t="s">
        <v>144</v>
      </c>
      <c r="B254" t="s">
        <v>145</v>
      </c>
      <c r="C254" s="34">
        <v>44370</v>
      </c>
      <c r="D254" s="14">
        <v>1100.5899999999999</v>
      </c>
    </row>
    <row r="255" spans="1:4" x14ac:dyDescent="0.25">
      <c r="A255" t="s">
        <v>495</v>
      </c>
      <c r="B255" t="s">
        <v>494</v>
      </c>
      <c r="C255" s="34">
        <v>44371</v>
      </c>
      <c r="D255" s="14">
        <v>1000</v>
      </c>
    </row>
    <row r="256" spans="1:4" x14ac:dyDescent="0.25">
      <c r="A256" t="s">
        <v>554</v>
      </c>
      <c r="B256" t="s">
        <v>553</v>
      </c>
      <c r="C256" s="34">
        <v>44371</v>
      </c>
      <c r="D256" s="14">
        <v>500</v>
      </c>
    </row>
    <row r="257" spans="1:4" x14ac:dyDescent="0.25">
      <c r="A257" t="s">
        <v>569</v>
      </c>
      <c r="B257" t="s">
        <v>568</v>
      </c>
      <c r="C257" s="34">
        <v>44371</v>
      </c>
      <c r="D257" s="14">
        <v>700</v>
      </c>
    </row>
    <row r="258" spans="1:4" x14ac:dyDescent="0.25">
      <c r="A258" t="s">
        <v>161</v>
      </c>
      <c r="B258" t="s">
        <v>162</v>
      </c>
      <c r="C258" s="34">
        <v>44372</v>
      </c>
      <c r="D258" s="14">
        <v>4950</v>
      </c>
    </row>
    <row r="259" spans="1:4" x14ac:dyDescent="0.25">
      <c r="A259" t="s">
        <v>166</v>
      </c>
      <c r="B259" t="s">
        <v>167</v>
      </c>
      <c r="C259" s="34">
        <v>44372</v>
      </c>
      <c r="D259" s="14">
        <v>3000</v>
      </c>
    </row>
    <row r="260" spans="1:4" x14ac:dyDescent="0.25">
      <c r="A260" t="s">
        <v>924</v>
      </c>
      <c r="B260" t="s">
        <v>923</v>
      </c>
      <c r="C260" s="34">
        <v>44372</v>
      </c>
      <c r="D260" s="14">
        <v>301</v>
      </c>
    </row>
    <row r="261" spans="1:4" x14ac:dyDescent="0.25">
      <c r="A261" t="s">
        <v>544</v>
      </c>
      <c r="B261" t="s">
        <v>304</v>
      </c>
      <c r="C261" s="34">
        <v>44372</v>
      </c>
      <c r="D261" s="14">
        <v>5340.9549999999999</v>
      </c>
    </row>
    <row r="262" spans="1:4" x14ac:dyDescent="0.25">
      <c r="A262" t="s">
        <v>315</v>
      </c>
      <c r="B262" t="s">
        <v>245</v>
      </c>
      <c r="C262" s="34">
        <v>44372</v>
      </c>
      <c r="D262" s="14">
        <v>7622.3639999999996</v>
      </c>
    </row>
    <row r="263" spans="1:4" x14ac:dyDescent="0.25">
      <c r="A263" t="s">
        <v>822</v>
      </c>
      <c r="B263" t="s">
        <v>821</v>
      </c>
      <c r="C263" s="34">
        <v>44372</v>
      </c>
      <c r="D263" s="14">
        <v>964.91700000000003</v>
      </c>
    </row>
    <row r="264" spans="1:4" x14ac:dyDescent="0.25">
      <c r="A264" t="s">
        <v>315</v>
      </c>
      <c r="B264" t="s">
        <v>245</v>
      </c>
      <c r="C264" s="34">
        <v>44372</v>
      </c>
      <c r="D264" s="14">
        <v>6928.8289999999997</v>
      </c>
    </row>
    <row r="265" spans="1:4" x14ac:dyDescent="0.25">
      <c r="A265" t="s">
        <v>1136</v>
      </c>
      <c r="B265" t="s">
        <v>1135</v>
      </c>
      <c r="C265" s="34">
        <v>44372</v>
      </c>
      <c r="D265" s="14">
        <v>2875</v>
      </c>
    </row>
    <row r="266" spans="1:4" x14ac:dyDescent="0.25">
      <c r="A266" t="s">
        <v>1253</v>
      </c>
      <c r="B266" t="s">
        <v>1252</v>
      </c>
      <c r="C266" s="34">
        <v>44372</v>
      </c>
      <c r="D266" s="14">
        <v>415</v>
      </c>
    </row>
    <row r="267" spans="1:4" x14ac:dyDescent="0.25">
      <c r="A267" t="s">
        <v>153</v>
      </c>
      <c r="B267" t="s">
        <v>154</v>
      </c>
      <c r="C267" s="34">
        <v>44372</v>
      </c>
      <c r="D267" s="14">
        <v>840</v>
      </c>
    </row>
    <row r="268" spans="1:4" x14ac:dyDescent="0.25">
      <c r="A268" t="s">
        <v>978</v>
      </c>
      <c r="B268" t="s">
        <v>977</v>
      </c>
      <c r="C268" s="34">
        <v>44372</v>
      </c>
      <c r="D268" s="14">
        <v>3808.4679999999998</v>
      </c>
    </row>
    <row r="269" spans="1:4" x14ac:dyDescent="0.25">
      <c r="A269" t="s">
        <v>397</v>
      </c>
      <c r="B269" t="s">
        <v>396</v>
      </c>
      <c r="C269" s="34">
        <v>44372</v>
      </c>
      <c r="D269" s="14">
        <v>476.541</v>
      </c>
    </row>
    <row r="270" spans="1:4" x14ac:dyDescent="0.25">
      <c r="A270" t="s">
        <v>1169</v>
      </c>
      <c r="B270" t="s">
        <v>1168</v>
      </c>
      <c r="C270" s="34">
        <v>44372</v>
      </c>
      <c r="D270" s="14">
        <v>2270.1799999999998</v>
      </c>
    </row>
    <row r="271" spans="1:4" x14ac:dyDescent="0.25">
      <c r="A271" t="s">
        <v>153</v>
      </c>
      <c r="B271" t="s">
        <v>154</v>
      </c>
      <c r="C271" s="34">
        <v>44372</v>
      </c>
      <c r="D271" s="14">
        <v>870</v>
      </c>
    </row>
    <row r="272" spans="1:4" x14ac:dyDescent="0.25">
      <c r="A272" t="s">
        <v>363</v>
      </c>
      <c r="B272" t="s">
        <v>365</v>
      </c>
      <c r="C272" s="34">
        <v>44372</v>
      </c>
      <c r="D272" s="14">
        <v>1830.0730000000001</v>
      </c>
    </row>
    <row r="273" spans="1:4" x14ac:dyDescent="0.25">
      <c r="A273" t="s">
        <v>168</v>
      </c>
      <c r="B273" t="s">
        <v>169</v>
      </c>
      <c r="C273" s="34">
        <v>44372</v>
      </c>
      <c r="D273" s="14">
        <v>1270.5170000000001</v>
      </c>
    </row>
    <row r="274" spans="1:4" x14ac:dyDescent="0.25">
      <c r="A274" t="s">
        <v>887</v>
      </c>
      <c r="B274" t="s">
        <v>886</v>
      </c>
      <c r="C274" s="34">
        <v>44372</v>
      </c>
      <c r="D274" s="14">
        <v>2200</v>
      </c>
    </row>
    <row r="275" spans="1:4" x14ac:dyDescent="0.25">
      <c r="A275" t="s">
        <v>520</v>
      </c>
      <c r="B275" t="s">
        <v>360</v>
      </c>
      <c r="C275" s="34">
        <v>44372</v>
      </c>
      <c r="D275" s="14">
        <v>950</v>
      </c>
    </row>
    <row r="276" spans="1:4" x14ac:dyDescent="0.25">
      <c r="A276" t="s">
        <v>520</v>
      </c>
      <c r="B276" t="s">
        <v>360</v>
      </c>
      <c r="C276" s="34">
        <v>44372</v>
      </c>
      <c r="D276" s="14">
        <v>950</v>
      </c>
    </row>
    <row r="277" spans="1:4" x14ac:dyDescent="0.25">
      <c r="A277" t="s">
        <v>513</v>
      </c>
      <c r="B277" t="s">
        <v>338</v>
      </c>
      <c r="C277" s="34">
        <v>44372</v>
      </c>
      <c r="D277" s="14">
        <v>3000</v>
      </c>
    </row>
    <row r="278" spans="1:4" x14ac:dyDescent="0.25">
      <c r="A278" t="s">
        <v>526</v>
      </c>
      <c r="B278" t="s">
        <v>527</v>
      </c>
      <c r="C278" s="34">
        <v>44372</v>
      </c>
      <c r="D278" s="14">
        <v>940.42100000000005</v>
      </c>
    </row>
    <row r="279" spans="1:4" x14ac:dyDescent="0.25">
      <c r="A279" t="s">
        <v>261</v>
      </c>
      <c r="B279" t="s">
        <v>262</v>
      </c>
      <c r="C279" s="34">
        <v>44372</v>
      </c>
      <c r="D279" s="14">
        <v>2348</v>
      </c>
    </row>
    <row r="280" spans="1:4" x14ac:dyDescent="0.25">
      <c r="A280" t="s">
        <v>628</v>
      </c>
      <c r="B280" t="s">
        <v>627</v>
      </c>
      <c r="C280" s="34">
        <v>44372</v>
      </c>
      <c r="D280" s="14">
        <v>1141.9970000000001</v>
      </c>
    </row>
    <row r="281" spans="1:4" x14ac:dyDescent="0.25">
      <c r="A281" t="s">
        <v>142</v>
      </c>
      <c r="B281" t="s">
        <v>143</v>
      </c>
      <c r="C281" s="34">
        <v>44372</v>
      </c>
      <c r="D281" s="14">
        <v>1000</v>
      </c>
    </row>
    <row r="282" spans="1:4" x14ac:dyDescent="0.25">
      <c r="A282" t="s">
        <v>216</v>
      </c>
      <c r="B282" t="s">
        <v>217</v>
      </c>
      <c r="C282" s="34">
        <v>44373</v>
      </c>
      <c r="D282" s="14">
        <v>5000</v>
      </c>
    </row>
    <row r="283" spans="1:4" x14ac:dyDescent="0.25">
      <c r="A283" t="s">
        <v>232</v>
      </c>
      <c r="B283" t="s">
        <v>233</v>
      </c>
      <c r="C283" s="34">
        <v>44373</v>
      </c>
      <c r="D283" s="14">
        <v>2636.0210000000002</v>
      </c>
    </row>
    <row r="284" spans="1:4" x14ac:dyDescent="0.25">
      <c r="A284" t="s">
        <v>431</v>
      </c>
      <c r="B284" t="s">
        <v>337</v>
      </c>
      <c r="C284" s="34">
        <v>44373</v>
      </c>
      <c r="D284" s="14">
        <v>7821.1869999999999</v>
      </c>
    </row>
    <row r="285" spans="1:4" x14ac:dyDescent="0.25">
      <c r="A285" t="s">
        <v>1073</v>
      </c>
      <c r="B285" t="s">
        <v>1072</v>
      </c>
      <c r="C285" s="34">
        <v>44373</v>
      </c>
      <c r="D285" s="14">
        <v>370.24400000000003</v>
      </c>
    </row>
    <row r="286" spans="1:4" x14ac:dyDescent="0.25">
      <c r="A286" t="s">
        <v>558</v>
      </c>
      <c r="B286" t="s">
        <v>557</v>
      </c>
      <c r="C286" s="34">
        <v>44373</v>
      </c>
      <c r="D286" s="14">
        <v>1140</v>
      </c>
    </row>
    <row r="287" spans="1:4" x14ac:dyDescent="0.25">
      <c r="A287" t="s">
        <v>218</v>
      </c>
      <c r="B287" t="s">
        <v>219</v>
      </c>
      <c r="C287" s="34">
        <v>44373</v>
      </c>
      <c r="D287" s="14">
        <v>1500</v>
      </c>
    </row>
    <row r="288" spans="1:4" x14ac:dyDescent="0.25">
      <c r="A288" t="s">
        <v>148</v>
      </c>
      <c r="B288" t="s">
        <v>149</v>
      </c>
      <c r="C288" s="34">
        <v>44374</v>
      </c>
      <c r="D288" s="14">
        <v>4760.0410000000002</v>
      </c>
    </row>
    <row r="289" spans="1:4" x14ac:dyDescent="0.25">
      <c r="A289" t="s">
        <v>172</v>
      </c>
      <c r="B289" t="s">
        <v>173</v>
      </c>
      <c r="C289" s="34">
        <v>44374</v>
      </c>
      <c r="D289" s="14">
        <v>1500</v>
      </c>
    </row>
    <row r="290" spans="1:4" x14ac:dyDescent="0.25">
      <c r="A290" t="s">
        <v>144</v>
      </c>
      <c r="B290" t="s">
        <v>145</v>
      </c>
      <c r="C290" s="34">
        <v>44374</v>
      </c>
      <c r="D290" s="14">
        <v>1100.5899999999999</v>
      </c>
    </row>
    <row r="291" spans="1:4" x14ac:dyDescent="0.25">
      <c r="A291" t="s">
        <v>512</v>
      </c>
      <c r="B291" t="s">
        <v>511</v>
      </c>
      <c r="C291" s="34">
        <v>44374</v>
      </c>
      <c r="D291" s="14">
        <v>1075.5820000000001</v>
      </c>
    </row>
    <row r="292" spans="1:4" x14ac:dyDescent="0.25">
      <c r="A292" t="s">
        <v>174</v>
      </c>
      <c r="B292" t="s">
        <v>175</v>
      </c>
      <c r="C292" s="34">
        <v>44374</v>
      </c>
      <c r="D292" s="14">
        <v>17552.635999999999</v>
      </c>
    </row>
    <row r="293" spans="1:4" x14ac:dyDescent="0.25">
      <c r="A293" t="s">
        <v>795</v>
      </c>
      <c r="B293" t="s">
        <v>794</v>
      </c>
      <c r="C293" s="34">
        <v>44374</v>
      </c>
      <c r="D293" s="14">
        <v>3782.0990000000002</v>
      </c>
    </row>
    <row r="294" spans="1:4" x14ac:dyDescent="0.25">
      <c r="A294" t="s">
        <v>1149</v>
      </c>
      <c r="B294" t="s">
        <v>1148</v>
      </c>
      <c r="C294" s="34">
        <v>44374</v>
      </c>
      <c r="D294" s="14">
        <v>1000</v>
      </c>
    </row>
    <row r="295" spans="1:4" x14ac:dyDescent="0.25">
      <c r="A295" t="s">
        <v>243</v>
      </c>
      <c r="B295" t="s">
        <v>244</v>
      </c>
      <c r="C295" s="34">
        <v>44375</v>
      </c>
      <c r="D295" s="14">
        <v>6987.17</v>
      </c>
    </row>
    <row r="296" spans="1:4" x14ac:dyDescent="0.25">
      <c r="A296" t="s">
        <v>1081</v>
      </c>
      <c r="B296" t="s">
        <v>1080</v>
      </c>
      <c r="C296" s="34">
        <v>44375</v>
      </c>
      <c r="D296" s="14">
        <v>696.423</v>
      </c>
    </row>
    <row r="297" spans="1:4" x14ac:dyDescent="0.25">
      <c r="A297" t="s">
        <v>1176</v>
      </c>
      <c r="B297" t="s">
        <v>1175</v>
      </c>
      <c r="C297" s="34">
        <v>44375</v>
      </c>
      <c r="D297" s="14">
        <v>1500</v>
      </c>
    </row>
    <row r="298" spans="1:4" x14ac:dyDescent="0.25">
      <c r="A298" t="s">
        <v>477</v>
      </c>
      <c r="B298" t="s">
        <v>476</v>
      </c>
      <c r="C298" s="34">
        <v>44375</v>
      </c>
      <c r="D298" s="14">
        <v>1475.903</v>
      </c>
    </row>
    <row r="299" spans="1:4" x14ac:dyDescent="0.25">
      <c r="A299" t="s">
        <v>261</v>
      </c>
      <c r="B299" t="s">
        <v>262</v>
      </c>
      <c r="C299" s="34">
        <v>44375</v>
      </c>
      <c r="D299" s="14">
        <v>2336</v>
      </c>
    </row>
    <row r="300" spans="1:4" x14ac:dyDescent="0.25">
      <c r="A300" t="s">
        <v>161</v>
      </c>
      <c r="B300" t="s">
        <v>162</v>
      </c>
      <c r="C300" s="34">
        <v>44376</v>
      </c>
      <c r="D300" s="14">
        <v>4950</v>
      </c>
    </row>
    <row r="301" spans="1:4" x14ac:dyDescent="0.25">
      <c r="A301" t="s">
        <v>877</v>
      </c>
      <c r="B301" t="s">
        <v>337</v>
      </c>
      <c r="C301" s="34">
        <v>44376</v>
      </c>
      <c r="D301" s="14">
        <v>6426.5829999999996</v>
      </c>
    </row>
    <row r="302" spans="1:4" x14ac:dyDescent="0.25">
      <c r="A302" t="s">
        <v>1098</v>
      </c>
      <c r="B302" t="s">
        <v>1097</v>
      </c>
      <c r="C302" s="34">
        <v>44376</v>
      </c>
      <c r="D302" s="14">
        <v>1501.4939999999999</v>
      </c>
    </row>
    <row r="303" spans="1:4" x14ac:dyDescent="0.25">
      <c r="A303" t="s">
        <v>1094</v>
      </c>
      <c r="B303" t="s">
        <v>1093</v>
      </c>
      <c r="C303" s="34">
        <v>44376</v>
      </c>
      <c r="D303" s="14">
        <v>1005.615</v>
      </c>
    </row>
    <row r="304" spans="1:4" x14ac:dyDescent="0.25">
      <c r="A304" t="s">
        <v>146</v>
      </c>
      <c r="B304" t="s">
        <v>147</v>
      </c>
      <c r="C304" s="34">
        <v>44376</v>
      </c>
      <c r="D304" s="14">
        <v>1362</v>
      </c>
    </row>
    <row r="305" spans="1:4" x14ac:dyDescent="0.25">
      <c r="A305" t="s">
        <v>793</v>
      </c>
      <c r="B305" t="s">
        <v>792</v>
      </c>
      <c r="C305" s="34">
        <v>44376</v>
      </c>
      <c r="D305" s="14">
        <v>1750</v>
      </c>
    </row>
    <row r="306" spans="1:4" x14ac:dyDescent="0.25">
      <c r="A306" t="s">
        <v>749</v>
      </c>
      <c r="B306" t="s">
        <v>748</v>
      </c>
      <c r="C306" s="34">
        <v>44376</v>
      </c>
      <c r="D306" s="14">
        <v>495.459</v>
      </c>
    </row>
    <row r="307" spans="1:4" x14ac:dyDescent="0.25">
      <c r="A307" t="s">
        <v>1099</v>
      </c>
      <c r="B307" t="s">
        <v>470</v>
      </c>
      <c r="C307" s="34">
        <v>44376</v>
      </c>
      <c r="D307" s="14">
        <v>1650</v>
      </c>
    </row>
    <row r="308" spans="1:4" x14ac:dyDescent="0.25">
      <c r="A308" t="s">
        <v>968</v>
      </c>
      <c r="B308" t="s">
        <v>967</v>
      </c>
      <c r="C308" s="34">
        <v>44376</v>
      </c>
      <c r="D308" s="14">
        <v>508.57600000000002</v>
      </c>
    </row>
    <row r="309" spans="1:4" x14ac:dyDescent="0.25">
      <c r="A309" t="s">
        <v>211</v>
      </c>
      <c r="B309" t="s">
        <v>212</v>
      </c>
      <c r="C309" s="34">
        <v>44377</v>
      </c>
      <c r="D309" s="14">
        <v>1262.4880000000001</v>
      </c>
    </row>
    <row r="310" spans="1:4" x14ac:dyDescent="0.25">
      <c r="A310" t="s">
        <v>136</v>
      </c>
      <c r="B310" t="s">
        <v>137</v>
      </c>
      <c r="C310" s="34">
        <v>44377</v>
      </c>
      <c r="D310" s="14">
        <v>4426.509</v>
      </c>
    </row>
    <row r="311" spans="1:4" x14ac:dyDescent="0.25">
      <c r="A311" t="s">
        <v>166</v>
      </c>
      <c r="B311" t="s">
        <v>167</v>
      </c>
      <c r="C311" s="34">
        <v>44377</v>
      </c>
      <c r="D311" s="14">
        <v>3146.6570000000002</v>
      </c>
    </row>
    <row r="312" spans="1:4" x14ac:dyDescent="0.25">
      <c r="A312" t="s">
        <v>228</v>
      </c>
      <c r="B312" t="s">
        <v>229</v>
      </c>
      <c r="C312" s="34">
        <v>44377</v>
      </c>
      <c r="D312" s="14">
        <v>6425.8940000000002</v>
      </c>
    </row>
    <row r="313" spans="1:4" x14ac:dyDescent="0.25">
      <c r="A313" t="s">
        <v>468</v>
      </c>
      <c r="B313" t="s">
        <v>467</v>
      </c>
      <c r="C313" s="34">
        <v>44377</v>
      </c>
      <c r="D313" s="14">
        <v>7523.7579999999998</v>
      </c>
    </row>
    <row r="314" spans="1:4" x14ac:dyDescent="0.25">
      <c r="A314" t="s">
        <v>155</v>
      </c>
      <c r="B314" t="s">
        <v>156</v>
      </c>
      <c r="C314" s="34">
        <v>44377</v>
      </c>
      <c r="D314" s="14">
        <v>3173.5210000000002</v>
      </c>
    </row>
    <row r="315" spans="1:4" x14ac:dyDescent="0.25">
      <c r="A315" t="s">
        <v>671</v>
      </c>
      <c r="B315" t="s">
        <v>670</v>
      </c>
      <c r="C315" s="34">
        <v>44377</v>
      </c>
      <c r="D315" s="14">
        <v>1518.2239999999999</v>
      </c>
    </row>
    <row r="316" spans="1:4" x14ac:dyDescent="0.25">
      <c r="A316" t="s">
        <v>759</v>
      </c>
      <c r="B316" t="s">
        <v>758</v>
      </c>
      <c r="C316" s="34">
        <v>44377</v>
      </c>
      <c r="D316" s="14">
        <v>3500</v>
      </c>
    </row>
    <row r="317" spans="1:4" x14ac:dyDescent="0.25">
      <c r="A317" t="s">
        <v>524</v>
      </c>
      <c r="B317" t="s">
        <v>525</v>
      </c>
      <c r="C317" s="34">
        <v>44377</v>
      </c>
      <c r="D317" s="14">
        <v>2300</v>
      </c>
    </row>
    <row r="318" spans="1:4" x14ac:dyDescent="0.25">
      <c r="A318" t="s">
        <v>975</v>
      </c>
      <c r="B318" t="s">
        <v>564</v>
      </c>
      <c r="C318" s="34">
        <v>44377</v>
      </c>
      <c r="D318" s="14">
        <v>2000</v>
      </c>
    </row>
    <row r="319" spans="1:4" x14ac:dyDescent="0.25">
      <c r="A319" t="s">
        <v>170</v>
      </c>
      <c r="B319" t="s">
        <v>171</v>
      </c>
      <c r="C319" s="34">
        <v>44377</v>
      </c>
      <c r="D319" s="14">
        <v>4436.7950000000001</v>
      </c>
    </row>
    <row r="320" spans="1:4" x14ac:dyDescent="0.25">
      <c r="A320" t="s">
        <v>190</v>
      </c>
      <c r="B320" t="s">
        <v>191</v>
      </c>
      <c r="C320" s="34">
        <v>44377</v>
      </c>
      <c r="D320" s="14">
        <v>1138.2560000000001</v>
      </c>
    </row>
    <row r="321" spans="1:4" x14ac:dyDescent="0.25">
      <c r="A321" t="s">
        <v>172</v>
      </c>
      <c r="B321" t="s">
        <v>173</v>
      </c>
      <c r="C321" s="34">
        <v>44377</v>
      </c>
      <c r="D321" s="14">
        <v>1500</v>
      </c>
    </row>
    <row r="322" spans="1:4" x14ac:dyDescent="0.25">
      <c r="A322" t="s">
        <v>469</v>
      </c>
      <c r="B322" t="s">
        <v>214</v>
      </c>
      <c r="C322" s="34">
        <v>44377</v>
      </c>
      <c r="D322" s="14">
        <v>3457.7869999999998</v>
      </c>
    </row>
    <row r="323" spans="1:4" x14ac:dyDescent="0.25">
      <c r="A323" t="s">
        <v>877</v>
      </c>
      <c r="B323" t="s">
        <v>337</v>
      </c>
      <c r="C323" s="34">
        <v>44377</v>
      </c>
      <c r="D323" s="14">
        <v>6426.5829999999996</v>
      </c>
    </row>
    <row r="324" spans="1:4" x14ac:dyDescent="0.25">
      <c r="A324" t="s">
        <v>386</v>
      </c>
      <c r="B324" t="s">
        <v>132</v>
      </c>
      <c r="C324" s="34">
        <v>44377</v>
      </c>
      <c r="D324" s="14">
        <v>3162.8130000000001</v>
      </c>
    </row>
    <row r="325" spans="1:4" x14ac:dyDescent="0.25">
      <c r="A325" t="s">
        <v>392</v>
      </c>
      <c r="B325" t="s">
        <v>341</v>
      </c>
      <c r="C325" s="34">
        <v>44377</v>
      </c>
      <c r="D325" s="14">
        <v>1000</v>
      </c>
    </row>
    <row r="326" spans="1:4" x14ac:dyDescent="0.25">
      <c r="A326" t="s">
        <v>924</v>
      </c>
      <c r="B326" t="s">
        <v>923</v>
      </c>
      <c r="C326" s="34">
        <v>44377</v>
      </c>
      <c r="D326" s="14">
        <v>301</v>
      </c>
    </row>
    <row r="327" spans="1:4" x14ac:dyDescent="0.25">
      <c r="A327" t="s">
        <v>319</v>
      </c>
      <c r="B327" t="s">
        <v>130</v>
      </c>
      <c r="C327" s="34">
        <v>44377</v>
      </c>
      <c r="D327" s="14">
        <v>9127.7639999999992</v>
      </c>
    </row>
    <row r="328" spans="1:4" x14ac:dyDescent="0.25">
      <c r="A328" t="s">
        <v>386</v>
      </c>
      <c r="B328" t="s">
        <v>132</v>
      </c>
      <c r="C328" s="34">
        <v>44377</v>
      </c>
      <c r="D328" s="14">
        <v>2631.5459999999998</v>
      </c>
    </row>
    <row r="329" spans="1:4" x14ac:dyDescent="0.25">
      <c r="A329" t="s">
        <v>626</v>
      </c>
      <c r="B329" t="s">
        <v>202</v>
      </c>
      <c r="C329" s="34">
        <v>44377</v>
      </c>
      <c r="D329" s="14">
        <v>4967.16</v>
      </c>
    </row>
    <row r="330" spans="1:4" x14ac:dyDescent="0.25">
      <c r="A330" t="s">
        <v>957</v>
      </c>
      <c r="B330" t="s">
        <v>344</v>
      </c>
      <c r="C330" s="34">
        <v>44377</v>
      </c>
      <c r="D330" s="14">
        <v>2076.712</v>
      </c>
    </row>
    <row r="331" spans="1:4" x14ac:dyDescent="0.25">
      <c r="A331" t="s">
        <v>952</v>
      </c>
      <c r="B331" t="s">
        <v>134</v>
      </c>
      <c r="C331" s="34">
        <v>44377</v>
      </c>
      <c r="D331" s="14">
        <v>1500</v>
      </c>
    </row>
    <row r="332" spans="1:4" x14ac:dyDescent="0.25">
      <c r="A332" t="s">
        <v>394</v>
      </c>
      <c r="B332" t="s">
        <v>357</v>
      </c>
      <c r="C332" s="34">
        <v>44377</v>
      </c>
      <c r="D332" s="14">
        <v>2070.5459999999998</v>
      </c>
    </row>
    <row r="333" spans="1:4" x14ac:dyDescent="0.25">
      <c r="A333" t="s">
        <v>733</v>
      </c>
      <c r="B333" t="s">
        <v>732</v>
      </c>
      <c r="C333" s="34">
        <v>44377</v>
      </c>
      <c r="D333" s="14">
        <v>3979.1030000000001</v>
      </c>
    </row>
    <row r="334" spans="1:4" x14ac:dyDescent="0.25">
      <c r="A334" t="s">
        <v>956</v>
      </c>
      <c r="B334" t="s">
        <v>574</v>
      </c>
      <c r="C334" s="34">
        <v>44377</v>
      </c>
      <c r="D334" s="14">
        <v>3139.0349999999999</v>
      </c>
    </row>
    <row r="335" spans="1:4" x14ac:dyDescent="0.25">
      <c r="A335" t="s">
        <v>974</v>
      </c>
      <c r="B335" t="s">
        <v>135</v>
      </c>
      <c r="C335" s="34">
        <v>44377</v>
      </c>
      <c r="D335" s="14">
        <v>3760</v>
      </c>
    </row>
    <row r="336" spans="1:4" x14ac:dyDescent="0.25">
      <c r="A336" t="s">
        <v>551</v>
      </c>
      <c r="B336" t="s">
        <v>204</v>
      </c>
      <c r="C336" s="34">
        <v>44377</v>
      </c>
      <c r="D336" s="14">
        <v>548.89200000000005</v>
      </c>
    </row>
    <row r="337" spans="1:4" x14ac:dyDescent="0.25">
      <c r="A337" t="s">
        <v>510</v>
      </c>
      <c r="B337" t="s">
        <v>131</v>
      </c>
      <c r="C337" s="34">
        <v>44377</v>
      </c>
      <c r="D337" s="14">
        <v>1448.2059999999999</v>
      </c>
    </row>
    <row r="338" spans="1:4" x14ac:dyDescent="0.25">
      <c r="A338" t="s">
        <v>900</v>
      </c>
      <c r="B338" t="s">
        <v>241</v>
      </c>
      <c r="C338" s="34">
        <v>44377</v>
      </c>
      <c r="D338" s="14">
        <v>2380.7330000000002</v>
      </c>
    </row>
    <row r="339" spans="1:4" x14ac:dyDescent="0.25">
      <c r="A339" t="s">
        <v>426</v>
      </c>
      <c r="B339" t="s">
        <v>180</v>
      </c>
      <c r="C339" s="34">
        <v>44377</v>
      </c>
      <c r="D339" s="14">
        <v>1223.4760000000001</v>
      </c>
    </row>
    <row r="340" spans="1:4" x14ac:dyDescent="0.25">
      <c r="A340" t="s">
        <v>480</v>
      </c>
      <c r="B340" t="s">
        <v>479</v>
      </c>
      <c r="C340" s="34">
        <v>44377</v>
      </c>
      <c r="D340" s="14">
        <v>555.67600000000004</v>
      </c>
    </row>
    <row r="341" spans="1:4" x14ac:dyDescent="0.25">
      <c r="A341" t="s">
        <v>488</v>
      </c>
      <c r="B341" t="s">
        <v>236</v>
      </c>
      <c r="C341" s="34">
        <v>44377</v>
      </c>
      <c r="D341" s="14">
        <v>697.6</v>
      </c>
    </row>
    <row r="342" spans="1:4" x14ac:dyDescent="0.25">
      <c r="A342" t="s">
        <v>391</v>
      </c>
      <c r="B342" t="s">
        <v>181</v>
      </c>
      <c r="C342" s="34">
        <v>44377</v>
      </c>
      <c r="D342" s="14">
        <v>1314.771</v>
      </c>
    </row>
    <row r="343" spans="1:4" x14ac:dyDescent="0.25">
      <c r="A343" t="s">
        <v>528</v>
      </c>
      <c r="B343" t="s">
        <v>182</v>
      </c>
      <c r="C343" s="34">
        <v>44377</v>
      </c>
      <c r="D343" s="14">
        <v>1389.222</v>
      </c>
    </row>
    <row r="344" spans="1:4" x14ac:dyDescent="0.25">
      <c r="A344" t="s">
        <v>997</v>
      </c>
      <c r="B344" t="s">
        <v>782</v>
      </c>
      <c r="C344" s="34">
        <v>44377</v>
      </c>
      <c r="D344" s="14">
        <v>6675.6509999999998</v>
      </c>
    </row>
    <row r="345" spans="1:4" x14ac:dyDescent="0.25">
      <c r="A345" t="s">
        <v>566</v>
      </c>
      <c r="B345" t="s">
        <v>183</v>
      </c>
      <c r="C345" s="34">
        <v>44377</v>
      </c>
      <c r="D345" s="14">
        <v>883.52099999999996</v>
      </c>
    </row>
    <row r="346" spans="1:4" x14ac:dyDescent="0.25">
      <c r="A346" t="s">
        <v>1013</v>
      </c>
      <c r="B346" t="s">
        <v>237</v>
      </c>
      <c r="C346" s="34">
        <v>44377</v>
      </c>
      <c r="D346" s="14">
        <v>1056</v>
      </c>
    </row>
    <row r="347" spans="1:4" x14ac:dyDescent="0.25">
      <c r="A347" t="s">
        <v>933</v>
      </c>
      <c r="B347" t="s">
        <v>842</v>
      </c>
      <c r="C347" s="34">
        <v>44377</v>
      </c>
      <c r="D347" s="14">
        <v>661.096</v>
      </c>
    </row>
    <row r="348" spans="1:4" x14ac:dyDescent="0.25">
      <c r="A348" t="s">
        <v>853</v>
      </c>
      <c r="B348" t="s">
        <v>779</v>
      </c>
      <c r="C348" s="34">
        <v>44377</v>
      </c>
      <c r="D348" s="14">
        <v>1375.89</v>
      </c>
    </row>
    <row r="349" spans="1:4" x14ac:dyDescent="0.25">
      <c r="A349" t="s">
        <v>490</v>
      </c>
      <c r="B349" t="s">
        <v>489</v>
      </c>
      <c r="C349" s="34">
        <v>44377</v>
      </c>
      <c r="D349" s="14">
        <v>3700.8649999999998</v>
      </c>
    </row>
    <row r="350" spans="1:4" x14ac:dyDescent="0.25">
      <c r="A350" t="s">
        <v>863</v>
      </c>
      <c r="B350" t="s">
        <v>371</v>
      </c>
      <c r="C350" s="34">
        <v>44377</v>
      </c>
      <c r="D350" s="14">
        <v>176.78</v>
      </c>
    </row>
    <row r="351" spans="1:4" x14ac:dyDescent="0.25">
      <c r="A351" t="s">
        <v>882</v>
      </c>
      <c r="B351" t="s">
        <v>677</v>
      </c>
      <c r="C351" s="34">
        <v>44377</v>
      </c>
      <c r="D351" s="14">
        <v>1801.4870000000001</v>
      </c>
    </row>
    <row r="352" spans="1:4" x14ac:dyDescent="0.25">
      <c r="A352" t="s">
        <v>1012</v>
      </c>
      <c r="B352" t="s">
        <v>530</v>
      </c>
      <c r="C352" s="34">
        <v>44377</v>
      </c>
      <c r="D352" s="14">
        <v>687.94399999999996</v>
      </c>
    </row>
    <row r="353" spans="1:4" x14ac:dyDescent="0.25">
      <c r="A353" t="s">
        <v>884</v>
      </c>
      <c r="B353" t="s">
        <v>207</v>
      </c>
      <c r="C353" s="34">
        <v>44377</v>
      </c>
      <c r="D353" s="14">
        <v>6711.701</v>
      </c>
    </row>
    <row r="354" spans="1:4" x14ac:dyDescent="0.25">
      <c r="A354" t="s">
        <v>445</v>
      </c>
      <c r="B354" t="s">
        <v>186</v>
      </c>
      <c r="C354" s="34">
        <v>44377</v>
      </c>
      <c r="D354" s="14">
        <v>1272.1980000000001</v>
      </c>
    </row>
    <row r="355" spans="1:4" x14ac:dyDescent="0.25">
      <c r="A355" t="s">
        <v>964</v>
      </c>
      <c r="B355" t="s">
        <v>904</v>
      </c>
      <c r="C355" s="34">
        <v>44377</v>
      </c>
      <c r="D355" s="14">
        <v>963.78700000000003</v>
      </c>
    </row>
    <row r="356" spans="1:4" x14ac:dyDescent="0.25">
      <c r="A356" t="s">
        <v>546</v>
      </c>
      <c r="B356" t="s">
        <v>466</v>
      </c>
      <c r="C356" s="34">
        <v>44377</v>
      </c>
      <c r="D356" s="14">
        <v>688.87599999999998</v>
      </c>
    </row>
    <row r="357" spans="1:4" x14ac:dyDescent="0.25">
      <c r="A357" t="s">
        <v>302</v>
      </c>
      <c r="B357" t="s">
        <v>165</v>
      </c>
      <c r="C357" s="34">
        <v>44377</v>
      </c>
      <c r="D357" s="14">
        <v>1218.3900000000001</v>
      </c>
    </row>
    <row r="358" spans="1:4" x14ac:dyDescent="0.25">
      <c r="A358" t="s">
        <v>1065</v>
      </c>
      <c r="B358" t="s">
        <v>1064</v>
      </c>
      <c r="C358" s="34">
        <v>44377</v>
      </c>
      <c r="D358" s="14">
        <v>475</v>
      </c>
    </row>
    <row r="359" spans="1:4" x14ac:dyDescent="0.25">
      <c r="A359" t="s">
        <v>847</v>
      </c>
      <c r="B359" t="s">
        <v>629</v>
      </c>
      <c r="C359" s="34">
        <v>44377</v>
      </c>
      <c r="D359" s="14">
        <v>980.029</v>
      </c>
    </row>
    <row r="360" spans="1:4" x14ac:dyDescent="0.25">
      <c r="A360" t="s">
        <v>735</v>
      </c>
      <c r="B360" t="s">
        <v>231</v>
      </c>
      <c r="C360" s="34">
        <v>44377</v>
      </c>
      <c r="D360" s="14">
        <v>182.40199999999999</v>
      </c>
    </row>
    <row r="361" spans="1:4" x14ac:dyDescent="0.25">
      <c r="A361" t="s">
        <v>781</v>
      </c>
      <c r="B361" t="s">
        <v>780</v>
      </c>
      <c r="C361" s="34">
        <v>44377</v>
      </c>
      <c r="D361" s="14">
        <v>608</v>
      </c>
    </row>
    <row r="362" spans="1:4" x14ac:dyDescent="0.25">
      <c r="A362" t="s">
        <v>529</v>
      </c>
      <c r="B362" t="s">
        <v>303</v>
      </c>
      <c r="C362" s="34">
        <v>44377</v>
      </c>
      <c r="D362" s="14">
        <v>4427.482</v>
      </c>
    </row>
    <row r="363" spans="1:4" x14ac:dyDescent="0.25">
      <c r="A363" t="s">
        <v>850</v>
      </c>
      <c r="B363" t="s">
        <v>187</v>
      </c>
      <c r="C363" s="34">
        <v>44377</v>
      </c>
      <c r="D363" s="14">
        <v>1886.998</v>
      </c>
    </row>
    <row r="364" spans="1:4" x14ac:dyDescent="0.25">
      <c r="A364" t="s">
        <v>1007</v>
      </c>
      <c r="B364" t="s">
        <v>1006</v>
      </c>
      <c r="C364" s="34">
        <v>44377</v>
      </c>
      <c r="D364" s="14">
        <v>826.12699999999995</v>
      </c>
    </row>
    <row r="365" spans="1:4" x14ac:dyDescent="0.25">
      <c r="A365" t="s">
        <v>1069</v>
      </c>
      <c r="B365" t="s">
        <v>129</v>
      </c>
      <c r="C365" s="34">
        <v>44377</v>
      </c>
      <c r="D365" s="14">
        <v>873.81600000000003</v>
      </c>
    </row>
    <row r="366" spans="1:4" x14ac:dyDescent="0.25">
      <c r="A366" t="s">
        <v>737</v>
      </c>
      <c r="B366" t="s">
        <v>643</v>
      </c>
      <c r="C366" s="34">
        <v>44377</v>
      </c>
      <c r="D366" s="14">
        <v>529.04899999999998</v>
      </c>
    </row>
    <row r="367" spans="1:4" x14ac:dyDescent="0.25">
      <c r="A367" t="s">
        <v>395</v>
      </c>
      <c r="B367" t="s">
        <v>177</v>
      </c>
      <c r="C367" s="34">
        <v>44377</v>
      </c>
      <c r="D367" s="14">
        <v>1600.7670000000001</v>
      </c>
    </row>
    <row r="368" spans="1:4" x14ac:dyDescent="0.25">
      <c r="A368" t="s">
        <v>1061</v>
      </c>
      <c r="B368" t="s">
        <v>1060</v>
      </c>
      <c r="C368" s="34">
        <v>44377</v>
      </c>
      <c r="D368" s="14">
        <v>254.4</v>
      </c>
    </row>
    <row r="369" spans="1:4" x14ac:dyDescent="0.25">
      <c r="A369" t="s">
        <v>1071</v>
      </c>
      <c r="B369" t="s">
        <v>1070</v>
      </c>
      <c r="C369" s="34">
        <v>44377</v>
      </c>
      <c r="D369" s="14">
        <v>1008.029</v>
      </c>
    </row>
    <row r="370" spans="1:4" s="312" customFormat="1" x14ac:dyDescent="0.25">
      <c r="A370" t="s">
        <v>407</v>
      </c>
      <c r="B370" t="s">
        <v>344</v>
      </c>
      <c r="C370" s="34">
        <v>44377</v>
      </c>
      <c r="D370" s="14">
        <v>347.10399999999998</v>
      </c>
    </row>
    <row r="371" spans="1:4" x14ac:dyDescent="0.25">
      <c r="A371" t="s">
        <v>902</v>
      </c>
      <c r="B371" t="s">
        <v>176</v>
      </c>
      <c r="C371" s="34">
        <v>44377</v>
      </c>
      <c r="D371" s="14">
        <v>1098.452</v>
      </c>
    </row>
    <row r="372" spans="1:4" x14ac:dyDescent="0.25">
      <c r="A372" t="s">
        <v>1094</v>
      </c>
      <c r="B372" t="s">
        <v>1093</v>
      </c>
      <c r="C372" s="34">
        <v>44377</v>
      </c>
      <c r="D372" s="14">
        <v>1846.7070000000001</v>
      </c>
    </row>
    <row r="373" spans="1:4" x14ac:dyDescent="0.25">
      <c r="A373" t="s">
        <v>1096</v>
      </c>
      <c r="B373" t="s">
        <v>1095</v>
      </c>
      <c r="C373" s="34">
        <v>44377</v>
      </c>
      <c r="D373" s="14">
        <v>176.315</v>
      </c>
    </row>
    <row r="374" spans="1:4" x14ac:dyDescent="0.25">
      <c r="A374" t="s">
        <v>974</v>
      </c>
      <c r="B374" t="s">
        <v>135</v>
      </c>
      <c r="C374" s="34">
        <v>44377</v>
      </c>
      <c r="D374" s="14">
        <v>3000</v>
      </c>
    </row>
    <row r="375" spans="1:4" x14ac:dyDescent="0.25">
      <c r="A375" t="s">
        <v>1136</v>
      </c>
      <c r="B375" t="s">
        <v>1135</v>
      </c>
      <c r="C375" s="34">
        <v>44377</v>
      </c>
      <c r="D375" s="14">
        <v>280</v>
      </c>
    </row>
    <row r="376" spans="1:4" x14ac:dyDescent="0.25">
      <c r="A376" t="s">
        <v>594</v>
      </c>
      <c r="B376" t="s">
        <v>593</v>
      </c>
      <c r="C376" s="34">
        <v>44377</v>
      </c>
      <c r="D376" s="14">
        <v>1431.951</v>
      </c>
    </row>
    <row r="377" spans="1:4" x14ac:dyDescent="0.25">
      <c r="A377" t="s">
        <v>1165</v>
      </c>
      <c r="B377" t="s">
        <v>1164</v>
      </c>
      <c r="C377" s="34">
        <v>44377</v>
      </c>
      <c r="D377" s="14">
        <v>1727.605</v>
      </c>
    </row>
    <row r="378" spans="1:4" x14ac:dyDescent="0.25">
      <c r="A378" t="s">
        <v>1019</v>
      </c>
      <c r="B378" t="s">
        <v>866</v>
      </c>
      <c r="C378" s="34">
        <v>44377</v>
      </c>
      <c r="D378" s="14">
        <v>4735.4920000000002</v>
      </c>
    </row>
    <row r="379" spans="1:4" x14ac:dyDescent="0.25">
      <c r="A379" t="s">
        <v>850</v>
      </c>
      <c r="B379" t="s">
        <v>187</v>
      </c>
      <c r="C379" s="34">
        <v>44377</v>
      </c>
      <c r="D379" s="14">
        <v>1427.568</v>
      </c>
    </row>
    <row r="380" spans="1:4" x14ac:dyDescent="0.25">
      <c r="A380" t="s">
        <v>1163</v>
      </c>
      <c r="B380" t="s">
        <v>1162</v>
      </c>
      <c r="C380" s="34">
        <v>44377</v>
      </c>
      <c r="D380" s="14">
        <v>851.33699999999999</v>
      </c>
    </row>
    <row r="381" spans="1:4" x14ac:dyDescent="0.25">
      <c r="A381" t="s">
        <v>1161</v>
      </c>
      <c r="B381" t="s">
        <v>1160</v>
      </c>
      <c r="C381" s="34">
        <v>44377</v>
      </c>
      <c r="D381" s="14">
        <v>3482.0349999999999</v>
      </c>
    </row>
    <row r="382" spans="1:4" x14ac:dyDescent="0.25">
      <c r="A382" t="s">
        <v>1247</v>
      </c>
      <c r="B382" t="s">
        <v>189</v>
      </c>
      <c r="C382" s="34">
        <v>44377</v>
      </c>
      <c r="D382" s="14">
        <v>1289.5999999999999</v>
      </c>
    </row>
    <row r="383" spans="1:4" x14ac:dyDescent="0.25">
      <c r="A383" t="s">
        <v>1246</v>
      </c>
      <c r="B383" t="s">
        <v>1245</v>
      </c>
      <c r="C383" s="34">
        <v>44377</v>
      </c>
      <c r="D383" s="14">
        <v>557.85299999999995</v>
      </c>
    </row>
    <row r="384" spans="1:4" x14ac:dyDescent="0.25">
      <c r="A384" t="s">
        <v>909</v>
      </c>
      <c r="B384" t="s">
        <v>639</v>
      </c>
      <c r="C384" s="34">
        <v>44377</v>
      </c>
      <c r="D384" s="14">
        <v>754.26300000000003</v>
      </c>
    </row>
    <row r="385" spans="1:4" x14ac:dyDescent="0.25">
      <c r="A385" t="s">
        <v>1244</v>
      </c>
      <c r="B385" t="s">
        <v>823</v>
      </c>
      <c r="C385" s="34">
        <v>44377</v>
      </c>
      <c r="D385" s="14">
        <v>980.86800000000005</v>
      </c>
    </row>
    <row r="386" spans="1:4" x14ac:dyDescent="0.25">
      <c r="A386" t="s">
        <v>1105</v>
      </c>
      <c r="B386" t="s">
        <v>1104</v>
      </c>
      <c r="C386" s="34">
        <v>44377</v>
      </c>
      <c r="D386" s="14">
        <v>2448.63</v>
      </c>
    </row>
    <row r="387" spans="1:4" x14ac:dyDescent="0.25">
      <c r="A387" t="s">
        <v>742</v>
      </c>
      <c r="B387" t="s">
        <v>498</v>
      </c>
      <c r="C387" s="34">
        <v>44377</v>
      </c>
      <c r="D387" s="14">
        <v>715.077</v>
      </c>
    </row>
    <row r="388" spans="1:4" x14ac:dyDescent="0.25">
      <c r="A388" t="s">
        <v>1041</v>
      </c>
      <c r="B388" t="s">
        <v>1040</v>
      </c>
      <c r="C388" s="34">
        <v>44377</v>
      </c>
      <c r="D388" s="14">
        <v>189.959</v>
      </c>
    </row>
    <row r="389" spans="1:4" x14ac:dyDescent="0.25">
      <c r="A389" t="s">
        <v>1276</v>
      </c>
      <c r="B389" t="s">
        <v>1275</v>
      </c>
      <c r="C389" s="34">
        <v>44377</v>
      </c>
      <c r="D389" s="14">
        <v>1279.569</v>
      </c>
    </row>
    <row r="390" spans="1:4" x14ac:dyDescent="0.25">
      <c r="A390" t="s">
        <v>1365</v>
      </c>
      <c r="B390" t="s">
        <v>1364</v>
      </c>
      <c r="C390" s="34">
        <v>44377</v>
      </c>
      <c r="D390" s="14">
        <v>1098.5250000000001</v>
      </c>
    </row>
    <row r="391" spans="1:4" x14ac:dyDescent="0.25">
      <c r="A391" t="s">
        <v>209</v>
      </c>
      <c r="B391" t="s">
        <v>210</v>
      </c>
      <c r="C391" s="34">
        <v>44377</v>
      </c>
      <c r="D391" s="14">
        <v>602.74</v>
      </c>
    </row>
    <row r="392" spans="1:4" x14ac:dyDescent="0.25">
      <c r="A392" t="s">
        <v>153</v>
      </c>
      <c r="B392" t="s">
        <v>154</v>
      </c>
      <c r="C392" s="34">
        <v>44377</v>
      </c>
      <c r="D392" s="14">
        <v>802.995</v>
      </c>
    </row>
    <row r="393" spans="1:4" x14ac:dyDescent="0.25">
      <c r="A393" t="s">
        <v>215</v>
      </c>
      <c r="B393" t="s">
        <v>346</v>
      </c>
      <c r="C393" s="34">
        <v>44377</v>
      </c>
      <c r="D393" s="14">
        <v>1247.377</v>
      </c>
    </row>
    <row r="394" spans="1:4" x14ac:dyDescent="0.25">
      <c r="A394" t="s">
        <v>623</v>
      </c>
      <c r="B394" t="s">
        <v>622</v>
      </c>
      <c r="C394" s="34">
        <v>44377</v>
      </c>
      <c r="D394" s="14">
        <v>2124.83</v>
      </c>
    </row>
    <row r="395" spans="1:4" x14ac:dyDescent="0.25">
      <c r="A395" t="s">
        <v>1167</v>
      </c>
      <c r="B395" t="s">
        <v>1166</v>
      </c>
      <c r="C395" s="34">
        <v>44377</v>
      </c>
      <c r="D395" s="14">
        <v>248.18</v>
      </c>
    </row>
    <row r="396" spans="1:4" x14ac:dyDescent="0.25">
      <c r="A396" t="s">
        <v>966</v>
      </c>
      <c r="B396" t="s">
        <v>965</v>
      </c>
      <c r="C396" s="34">
        <v>44377</v>
      </c>
      <c r="D396" s="14">
        <v>700</v>
      </c>
    </row>
    <row r="397" spans="1:4" x14ac:dyDescent="0.25">
      <c r="A397" t="s">
        <v>153</v>
      </c>
      <c r="B397" t="s">
        <v>154</v>
      </c>
      <c r="C397" s="34">
        <v>44377</v>
      </c>
      <c r="D397" s="14">
        <v>870</v>
      </c>
    </row>
    <row r="398" spans="1:4" x14ac:dyDescent="0.25">
      <c r="A398" t="s">
        <v>385</v>
      </c>
      <c r="B398" t="s">
        <v>384</v>
      </c>
      <c r="C398" s="34">
        <v>44377</v>
      </c>
      <c r="D398" s="14">
        <v>1000</v>
      </c>
    </row>
    <row r="399" spans="1:4" x14ac:dyDescent="0.25">
      <c r="A399" t="s">
        <v>577</v>
      </c>
      <c r="B399" t="s">
        <v>576</v>
      </c>
      <c r="C399" s="34">
        <v>44377</v>
      </c>
      <c r="D399" s="14">
        <v>3735</v>
      </c>
    </row>
    <row r="400" spans="1:4" x14ac:dyDescent="0.25">
      <c r="A400" t="s">
        <v>793</v>
      </c>
      <c r="B400" t="s">
        <v>792</v>
      </c>
      <c r="C400" s="34">
        <v>44377</v>
      </c>
      <c r="D400" s="14">
        <v>1350</v>
      </c>
    </row>
    <row r="401" spans="1:4" x14ac:dyDescent="0.25">
      <c r="A401" t="s">
        <v>517</v>
      </c>
      <c r="B401" t="s">
        <v>516</v>
      </c>
      <c r="C401" s="34">
        <v>44377</v>
      </c>
      <c r="D401" s="14">
        <v>2040.9870000000001</v>
      </c>
    </row>
    <row r="402" spans="1:4" x14ac:dyDescent="0.25">
      <c r="A402" t="s">
        <v>168</v>
      </c>
      <c r="B402" t="s">
        <v>169</v>
      </c>
      <c r="C402" s="34">
        <v>44377</v>
      </c>
      <c r="D402" s="14">
        <v>1270.518</v>
      </c>
    </row>
    <row r="403" spans="1:4" x14ac:dyDescent="0.25">
      <c r="A403" t="s">
        <v>999</v>
      </c>
      <c r="B403" t="s">
        <v>998</v>
      </c>
      <c r="C403" s="34">
        <v>44377</v>
      </c>
      <c r="D403" s="14">
        <v>1850</v>
      </c>
    </row>
    <row r="404" spans="1:4" x14ac:dyDescent="0.25">
      <c r="A404" t="s">
        <v>218</v>
      </c>
      <c r="B404" t="s">
        <v>219</v>
      </c>
      <c r="C404" s="34">
        <v>44377</v>
      </c>
      <c r="D404" s="14">
        <v>1500</v>
      </c>
    </row>
    <row r="405" spans="1:4" x14ac:dyDescent="0.25">
      <c r="A405" t="s">
        <v>761</v>
      </c>
      <c r="B405" t="s">
        <v>760</v>
      </c>
      <c r="C405" s="34">
        <v>44377</v>
      </c>
      <c r="D405" s="14">
        <v>382.13799999999998</v>
      </c>
    </row>
    <row r="406" spans="1:4" x14ac:dyDescent="0.25">
      <c r="A406" t="s">
        <v>543</v>
      </c>
      <c r="B406" t="s">
        <v>542</v>
      </c>
      <c r="C406" s="34">
        <v>44377</v>
      </c>
      <c r="D406" s="14">
        <v>635.72</v>
      </c>
    </row>
    <row r="407" spans="1:4" x14ac:dyDescent="0.25">
      <c r="A407" t="s">
        <v>1015</v>
      </c>
      <c r="B407" t="s">
        <v>1014</v>
      </c>
      <c r="C407" s="34">
        <v>44377</v>
      </c>
      <c r="D407" s="14">
        <v>21120.720000000001</v>
      </c>
    </row>
    <row r="408" spans="1:4" x14ac:dyDescent="0.25">
      <c r="A408" t="s">
        <v>497</v>
      </c>
      <c r="B408" t="s">
        <v>496</v>
      </c>
      <c r="C408" s="34">
        <v>44377</v>
      </c>
      <c r="D408" s="14">
        <v>2646.1610000000001</v>
      </c>
    </row>
    <row r="409" spans="1:4" x14ac:dyDescent="0.25">
      <c r="A409" t="s">
        <v>1027</v>
      </c>
      <c r="B409" t="s">
        <v>1026</v>
      </c>
      <c r="C409" s="34">
        <v>44377</v>
      </c>
      <c r="D409" s="14">
        <v>901.93200000000002</v>
      </c>
    </row>
    <row r="410" spans="1:4" x14ac:dyDescent="0.25">
      <c r="A410" t="s">
        <v>519</v>
      </c>
      <c r="B410" t="s">
        <v>518</v>
      </c>
      <c r="C410" s="34">
        <v>44377</v>
      </c>
      <c r="D410" s="14">
        <v>1316.9970000000001</v>
      </c>
    </row>
    <row r="411" spans="1:4" x14ac:dyDescent="0.25">
      <c r="A411" t="s">
        <v>517</v>
      </c>
      <c r="B411" t="s">
        <v>516</v>
      </c>
      <c r="C411" s="34">
        <v>44377</v>
      </c>
      <c r="D411" s="14">
        <v>364.20499999999998</v>
      </c>
    </row>
    <row r="412" spans="1:4" x14ac:dyDescent="0.25">
      <c r="A412" t="s">
        <v>597</v>
      </c>
      <c r="B412" t="s">
        <v>596</v>
      </c>
      <c r="C412" s="34">
        <v>44377</v>
      </c>
      <c r="D412" s="14">
        <v>401.29700000000003</v>
      </c>
    </row>
    <row r="413" spans="1:4" x14ac:dyDescent="0.25">
      <c r="A413" t="s">
        <v>430</v>
      </c>
      <c r="B413" t="s">
        <v>429</v>
      </c>
      <c r="C413" s="34">
        <v>44377</v>
      </c>
      <c r="D413" s="14">
        <v>288.69900000000001</v>
      </c>
    </row>
    <row r="414" spans="1:4" x14ac:dyDescent="0.25">
      <c r="A414" t="s">
        <v>1281</v>
      </c>
      <c r="B414" t="s">
        <v>345</v>
      </c>
      <c r="C414" s="34">
        <v>44377</v>
      </c>
      <c r="D414" s="14">
        <v>2500</v>
      </c>
    </row>
    <row r="415" spans="1:4" x14ac:dyDescent="0.25">
      <c r="A415" t="s">
        <v>1280</v>
      </c>
      <c r="B415" t="s">
        <v>1279</v>
      </c>
      <c r="C415" s="34">
        <v>44377</v>
      </c>
      <c r="D415" s="14">
        <v>143.91800000000001</v>
      </c>
    </row>
    <row r="416" spans="1:4" x14ac:dyDescent="0.25">
      <c r="A416" t="s">
        <v>1278</v>
      </c>
      <c r="B416" t="s">
        <v>1277</v>
      </c>
      <c r="C416" s="34">
        <v>44377</v>
      </c>
      <c r="D416" s="14">
        <v>474.26799999999997</v>
      </c>
    </row>
    <row r="417" spans="1:4" x14ac:dyDescent="0.25">
      <c r="A417" t="s">
        <v>1363</v>
      </c>
      <c r="B417" t="s">
        <v>1362</v>
      </c>
      <c r="C417" s="34">
        <v>44377</v>
      </c>
      <c r="D417" s="14">
        <v>909.82500000000005</v>
      </c>
    </row>
    <row r="418" spans="1:4" x14ac:dyDescent="0.25">
      <c r="A418" t="s">
        <v>521</v>
      </c>
      <c r="B418" t="s">
        <v>364</v>
      </c>
      <c r="C418" s="34">
        <v>44377</v>
      </c>
      <c r="D418" s="14">
        <v>3500</v>
      </c>
    </row>
    <row r="419" spans="1:4" x14ac:dyDescent="0.25">
      <c r="A419" t="s">
        <v>389</v>
      </c>
      <c r="B419" t="s">
        <v>242</v>
      </c>
      <c r="C419" s="34">
        <v>44377</v>
      </c>
      <c r="D419" s="14">
        <v>4209.4520000000002</v>
      </c>
    </row>
    <row r="420" spans="1:4" x14ac:dyDescent="0.25">
      <c r="A420" t="s">
        <v>513</v>
      </c>
      <c r="B420" t="s">
        <v>338</v>
      </c>
      <c r="C420" s="34">
        <v>44377</v>
      </c>
      <c r="D420" s="14">
        <v>2870.4490000000001</v>
      </c>
    </row>
    <row r="421" spans="1:4" x14ac:dyDescent="0.25">
      <c r="A421" t="s">
        <v>846</v>
      </c>
      <c r="B421" t="s">
        <v>300</v>
      </c>
      <c r="C421" s="34">
        <v>44377</v>
      </c>
      <c r="D421" s="14">
        <v>2990.9409999999998</v>
      </c>
    </row>
    <row r="422" spans="1:4" x14ac:dyDescent="0.25">
      <c r="A422" t="s">
        <v>1016</v>
      </c>
      <c r="B422" t="s">
        <v>682</v>
      </c>
      <c r="C422" s="34">
        <v>44377</v>
      </c>
      <c r="D422" s="14">
        <v>313.74900000000002</v>
      </c>
    </row>
    <row r="423" spans="1:4" x14ac:dyDescent="0.25">
      <c r="A423" t="s">
        <v>1031</v>
      </c>
      <c r="B423" t="s">
        <v>230</v>
      </c>
      <c r="C423" s="34">
        <v>44377</v>
      </c>
      <c r="D423" s="14">
        <v>481.21699999999998</v>
      </c>
    </row>
    <row r="424" spans="1:4" x14ac:dyDescent="0.25">
      <c r="A424" t="s">
        <v>645</v>
      </c>
      <c r="B424" t="s">
        <v>644</v>
      </c>
      <c r="C424" s="34">
        <v>44377</v>
      </c>
      <c r="D424" s="14">
        <v>905.56600000000003</v>
      </c>
    </row>
    <row r="425" spans="1:4" x14ac:dyDescent="0.25">
      <c r="A425" t="s">
        <v>569</v>
      </c>
      <c r="B425" t="s">
        <v>568</v>
      </c>
      <c r="C425" s="34">
        <v>44377</v>
      </c>
      <c r="D425" s="14">
        <v>827.68499999999995</v>
      </c>
    </row>
    <row r="426" spans="1:4" x14ac:dyDescent="0.25">
      <c r="A426" t="s">
        <v>935</v>
      </c>
      <c r="B426" t="s">
        <v>934</v>
      </c>
      <c r="C426" s="34">
        <v>44377</v>
      </c>
      <c r="D426" s="14">
        <v>883.35</v>
      </c>
    </row>
    <row r="427" spans="1:4" x14ac:dyDescent="0.25">
      <c r="A427" t="s">
        <v>970</v>
      </c>
      <c r="B427" t="s">
        <v>969</v>
      </c>
      <c r="C427" s="34">
        <v>44377</v>
      </c>
      <c r="D427" s="14">
        <v>161.696</v>
      </c>
    </row>
    <row r="428" spans="1:4" x14ac:dyDescent="0.25">
      <c r="A428" t="s">
        <v>848</v>
      </c>
      <c r="B428" t="s">
        <v>849</v>
      </c>
      <c r="C428" s="34">
        <v>44377</v>
      </c>
      <c r="D428" s="14">
        <v>182.04499999999999</v>
      </c>
    </row>
    <row r="429" spans="1:4" x14ac:dyDescent="0.25">
      <c r="A429" t="s">
        <v>192</v>
      </c>
      <c r="B429" t="s">
        <v>193</v>
      </c>
      <c r="C429" s="34">
        <v>44377</v>
      </c>
      <c r="D429" s="14">
        <v>3438.3409999999999</v>
      </c>
    </row>
    <row r="430" spans="1:4" x14ac:dyDescent="0.25">
      <c r="A430" t="s">
        <v>192</v>
      </c>
      <c r="B430" t="s">
        <v>193</v>
      </c>
      <c r="C430" s="34">
        <v>44377</v>
      </c>
      <c r="D430" s="14">
        <v>4664.924</v>
      </c>
    </row>
    <row r="431" spans="1:4" x14ac:dyDescent="0.25">
      <c r="A431" t="s">
        <v>192</v>
      </c>
      <c r="B431" t="s">
        <v>193</v>
      </c>
      <c r="C431" s="34">
        <v>44377</v>
      </c>
      <c r="D431" s="14">
        <v>4027.3510000000001</v>
      </c>
    </row>
    <row r="432" spans="1:4" x14ac:dyDescent="0.25">
      <c r="A432" t="s">
        <v>192</v>
      </c>
      <c r="B432" t="s">
        <v>193</v>
      </c>
      <c r="C432" s="34">
        <v>44377</v>
      </c>
      <c r="D432" s="14">
        <v>4273.2529999999997</v>
      </c>
    </row>
    <row r="433" spans="1:4" x14ac:dyDescent="0.25">
      <c r="A433" t="s">
        <v>192</v>
      </c>
      <c r="B433" t="s">
        <v>193</v>
      </c>
      <c r="C433" s="34">
        <v>44377</v>
      </c>
      <c r="D433" s="14">
        <v>4557.6989999999996</v>
      </c>
    </row>
    <row r="434" spans="1:4" x14ac:dyDescent="0.25">
      <c r="A434" t="s">
        <v>120</v>
      </c>
      <c r="B434" t="s">
        <v>121</v>
      </c>
      <c r="C434" s="34">
        <v>44377</v>
      </c>
      <c r="D434" s="14">
        <v>2134.3420000000001</v>
      </c>
    </row>
    <row r="435" spans="1:4" x14ac:dyDescent="0.25">
      <c r="A435" t="s">
        <v>621</v>
      </c>
      <c r="B435" t="s">
        <v>567</v>
      </c>
      <c r="C435" s="34">
        <v>44377</v>
      </c>
      <c r="D435" s="14">
        <v>1780</v>
      </c>
    </row>
    <row r="436" spans="1:4" x14ac:dyDescent="0.25">
      <c r="A436" t="s">
        <v>234</v>
      </c>
      <c r="B436" t="s">
        <v>235</v>
      </c>
      <c r="C436" s="34">
        <v>44377</v>
      </c>
      <c r="D436" s="14">
        <v>4235.8029999999999</v>
      </c>
    </row>
    <row r="437" spans="1:4" x14ac:dyDescent="0.25">
      <c r="A437" t="s">
        <v>124</v>
      </c>
      <c r="B437" t="s">
        <v>125</v>
      </c>
      <c r="C437" s="34">
        <v>44377</v>
      </c>
      <c r="D437" s="14">
        <v>3179.328</v>
      </c>
    </row>
    <row r="438" spans="1:4" x14ac:dyDescent="0.25">
      <c r="A438" t="s">
        <v>309</v>
      </c>
      <c r="B438" t="s">
        <v>240</v>
      </c>
      <c r="C438" s="34">
        <v>44377</v>
      </c>
      <c r="D438" s="14">
        <v>3946.9929999999999</v>
      </c>
    </row>
    <row r="439" spans="1:4" x14ac:dyDescent="0.25">
      <c r="A439" t="s">
        <v>473</v>
      </c>
      <c r="B439" t="s">
        <v>472</v>
      </c>
      <c r="C439" s="34">
        <v>44377</v>
      </c>
      <c r="D439" s="14">
        <v>457.88799999999998</v>
      </c>
    </row>
    <row r="440" spans="1:4" x14ac:dyDescent="0.25">
      <c r="A440" t="s">
        <v>1057</v>
      </c>
      <c r="B440" t="s">
        <v>1056</v>
      </c>
      <c r="C440" s="34">
        <v>44377</v>
      </c>
      <c r="D440" s="14">
        <v>2263.6120000000001</v>
      </c>
    </row>
    <row r="441" spans="1:4" x14ac:dyDescent="0.25">
      <c r="A441" t="s">
        <v>1251</v>
      </c>
      <c r="B441" t="s">
        <v>1250</v>
      </c>
      <c r="C441" s="34">
        <v>44377</v>
      </c>
      <c r="D441" s="14">
        <v>439.79899999999998</v>
      </c>
    </row>
    <row r="442" spans="1:4" x14ac:dyDescent="0.25">
      <c r="A442" t="s">
        <v>261</v>
      </c>
      <c r="B442" t="s">
        <v>262</v>
      </c>
      <c r="C442" s="34">
        <v>44377</v>
      </c>
      <c r="D442" s="14">
        <v>2348</v>
      </c>
    </row>
    <row r="443" spans="1:4" x14ac:dyDescent="0.25">
      <c r="A443" t="s">
        <v>196</v>
      </c>
      <c r="B443" t="s">
        <v>197</v>
      </c>
      <c r="C443" s="34">
        <v>44377</v>
      </c>
      <c r="D443" s="14">
        <v>2001.9269999999999</v>
      </c>
    </row>
    <row r="444" spans="1:4" x14ac:dyDescent="0.25">
      <c r="A444" t="s">
        <v>157</v>
      </c>
      <c r="B444" t="s">
        <v>158</v>
      </c>
      <c r="C444" s="34">
        <v>44377</v>
      </c>
      <c r="D444" s="14">
        <v>1000</v>
      </c>
    </row>
    <row r="445" spans="1:4" x14ac:dyDescent="0.25">
      <c r="A445" t="s">
        <v>222</v>
      </c>
      <c r="B445" t="s">
        <v>223</v>
      </c>
      <c r="C445" s="34">
        <v>44377</v>
      </c>
      <c r="D445" s="14">
        <v>5499.7889999999998</v>
      </c>
    </row>
    <row r="446" spans="1:4" x14ac:dyDescent="0.25">
      <c r="A446" t="s">
        <v>140</v>
      </c>
      <c r="B446" t="s">
        <v>141</v>
      </c>
      <c r="C446" s="34">
        <v>44377</v>
      </c>
      <c r="D446" s="14">
        <v>1380.0409999999999</v>
      </c>
    </row>
    <row r="447" spans="1:4" x14ac:dyDescent="0.25">
      <c r="A447" t="s">
        <v>142</v>
      </c>
      <c r="B447" t="s">
        <v>143</v>
      </c>
      <c r="C447" s="34">
        <v>44377</v>
      </c>
      <c r="D447" s="14">
        <v>1000</v>
      </c>
    </row>
    <row r="448" spans="1:4" x14ac:dyDescent="0.25">
      <c r="A448" t="s">
        <v>482</v>
      </c>
      <c r="B448" t="s">
        <v>481</v>
      </c>
      <c r="C448" s="34">
        <v>44377</v>
      </c>
      <c r="D448" s="14">
        <v>1730.931</v>
      </c>
    </row>
    <row r="449" spans="1:4" x14ac:dyDescent="0.25">
      <c r="A449" t="s">
        <v>475</v>
      </c>
      <c r="B449" t="s">
        <v>474</v>
      </c>
      <c r="C449" s="34">
        <v>44377</v>
      </c>
      <c r="D449" s="14">
        <v>1636.6210000000001</v>
      </c>
    </row>
    <row r="450" spans="1:4" x14ac:dyDescent="0.25">
      <c r="A450" t="s">
        <v>679</v>
      </c>
      <c r="B450" t="s">
        <v>678</v>
      </c>
      <c r="C450" s="34">
        <v>44377</v>
      </c>
      <c r="D450" s="14">
        <v>1261.1130000000001</v>
      </c>
    </row>
    <row r="451" spans="1:4" x14ac:dyDescent="0.25">
      <c r="A451" t="s">
        <v>1011</v>
      </c>
      <c r="B451" t="s">
        <v>1010</v>
      </c>
      <c r="C451" s="34">
        <v>44377</v>
      </c>
      <c r="D451" s="14">
        <v>2069.6970000000001</v>
      </c>
    </row>
    <row r="452" spans="1:4" x14ac:dyDescent="0.25">
      <c r="A452" t="s">
        <v>1030</v>
      </c>
      <c r="B452" t="s">
        <v>1029</v>
      </c>
      <c r="C452" s="34">
        <v>44377</v>
      </c>
      <c r="D452" s="14">
        <v>2178.3090000000002</v>
      </c>
    </row>
    <row r="453" spans="1:4" x14ac:dyDescent="0.25">
      <c r="A453" t="s">
        <v>414</v>
      </c>
      <c r="B453" t="s">
        <v>415</v>
      </c>
      <c r="C453" s="34">
        <v>44377</v>
      </c>
      <c r="D453" s="14">
        <v>2291.3150000000001</v>
      </c>
    </row>
    <row r="454" spans="1:4" x14ac:dyDescent="0.25">
      <c r="A454" t="s">
        <v>1249</v>
      </c>
      <c r="B454" t="s">
        <v>1248</v>
      </c>
      <c r="C454" s="34">
        <v>44377</v>
      </c>
      <c r="D454" s="14">
        <v>701.14099999999996</v>
      </c>
    </row>
    <row r="455" spans="1:4" x14ac:dyDescent="0.25">
      <c r="A455" t="s">
        <v>641</v>
      </c>
      <c r="B455" t="s">
        <v>640</v>
      </c>
      <c r="C455" s="34">
        <v>44377</v>
      </c>
      <c r="D455" s="14">
        <v>420.59300000000002</v>
      </c>
    </row>
    <row r="456" spans="1:4" x14ac:dyDescent="0.25">
      <c r="A456" t="s">
        <v>375</v>
      </c>
      <c r="B456" t="s">
        <v>379</v>
      </c>
      <c r="C456" s="34">
        <v>44377</v>
      </c>
      <c r="D456" s="14">
        <v>339.572</v>
      </c>
    </row>
    <row r="457" spans="1:4" x14ac:dyDescent="0.25">
      <c r="A457" t="s">
        <v>1361</v>
      </c>
      <c r="B457" t="s">
        <v>1360</v>
      </c>
      <c r="C457" s="34">
        <v>44377</v>
      </c>
      <c r="D457" s="14">
        <v>978.423</v>
      </c>
    </row>
    <row r="458" spans="1:4" ht="15.75" thickBot="1" x14ac:dyDescent="0.3">
      <c r="A458" t="s">
        <v>1359</v>
      </c>
      <c r="B458" t="s">
        <v>1358</v>
      </c>
      <c r="C458" s="34">
        <v>44377</v>
      </c>
      <c r="D458" s="14">
        <v>347.10399999999998</v>
      </c>
    </row>
    <row r="459" spans="1:4" ht="15.75" thickBot="1" x14ac:dyDescent="0.3">
      <c r="A459" s="695" t="s">
        <v>824</v>
      </c>
      <c r="B459" s="696"/>
      <c r="C459" s="696"/>
      <c r="D459" s="314">
        <f>SUM(D2:D458)</f>
        <v>1010093.6340000001</v>
      </c>
    </row>
    <row r="460" spans="1:4" x14ac:dyDescent="0.25">
      <c r="A460" t="s">
        <v>883</v>
      </c>
      <c r="B460" t="s">
        <v>206</v>
      </c>
      <c r="C460" s="34">
        <v>44378</v>
      </c>
      <c r="D460" s="14">
        <v>4692.5889999999999</v>
      </c>
    </row>
    <row r="461" spans="1:4" x14ac:dyDescent="0.25">
      <c r="A461" t="s">
        <v>928</v>
      </c>
      <c r="B461" t="s">
        <v>298</v>
      </c>
      <c r="C461" s="34">
        <v>44378</v>
      </c>
      <c r="D461" s="14">
        <v>160.001</v>
      </c>
    </row>
    <row r="462" spans="1:4" x14ac:dyDescent="0.25">
      <c r="A462" t="s">
        <v>1039</v>
      </c>
      <c r="B462" t="s">
        <v>1038</v>
      </c>
      <c r="C462" s="34">
        <v>44378</v>
      </c>
      <c r="D462" s="14">
        <v>3616.7310000000002</v>
      </c>
    </row>
    <row r="463" spans="1:4" x14ac:dyDescent="0.25">
      <c r="A463" t="s">
        <v>955</v>
      </c>
      <c r="B463" t="s">
        <v>740</v>
      </c>
      <c r="C463" s="34">
        <v>44378</v>
      </c>
      <c r="D463" s="14">
        <v>2711.5740000000001</v>
      </c>
    </row>
    <row r="464" spans="1:4" x14ac:dyDescent="0.25">
      <c r="A464" t="s">
        <v>484</v>
      </c>
      <c r="B464" t="s">
        <v>483</v>
      </c>
      <c r="C464" s="34">
        <v>44378</v>
      </c>
      <c r="D464" s="14">
        <v>5847.27</v>
      </c>
    </row>
    <row r="465" spans="1:4" x14ac:dyDescent="0.25">
      <c r="A465" t="s">
        <v>120</v>
      </c>
      <c r="B465" t="s">
        <v>121</v>
      </c>
      <c r="C465" s="34">
        <v>44378</v>
      </c>
      <c r="D465" s="14">
        <v>899.91300000000001</v>
      </c>
    </row>
    <row r="466" spans="1:4" x14ac:dyDescent="0.25">
      <c r="A466" t="s">
        <v>161</v>
      </c>
      <c r="B466" t="s">
        <v>162</v>
      </c>
      <c r="C466" s="34">
        <v>44379</v>
      </c>
      <c r="D466" s="14">
        <v>4950</v>
      </c>
    </row>
    <row r="467" spans="1:4" x14ac:dyDescent="0.25">
      <c r="A467" t="s">
        <v>556</v>
      </c>
      <c r="B467" t="s">
        <v>555</v>
      </c>
      <c r="C467" s="34">
        <v>44379</v>
      </c>
      <c r="D467" s="14">
        <v>360</v>
      </c>
    </row>
    <row r="468" spans="1:4" x14ac:dyDescent="0.25">
      <c r="A468" t="s">
        <v>788</v>
      </c>
      <c r="B468" t="s">
        <v>787</v>
      </c>
      <c r="C468" s="34">
        <v>44379</v>
      </c>
      <c r="D468" s="14">
        <v>491.66500000000002</v>
      </c>
    </row>
    <row r="469" spans="1:4" x14ac:dyDescent="0.25">
      <c r="A469" t="s">
        <v>363</v>
      </c>
      <c r="B469" t="s">
        <v>365</v>
      </c>
      <c r="C469" s="34">
        <v>44379</v>
      </c>
      <c r="D469" s="14">
        <v>1830.0730000000001</v>
      </c>
    </row>
    <row r="470" spans="1:4" x14ac:dyDescent="0.25">
      <c r="A470" t="s">
        <v>1159</v>
      </c>
      <c r="B470" t="s">
        <v>1158</v>
      </c>
      <c r="C470" s="34">
        <v>44379</v>
      </c>
      <c r="D470" s="14">
        <v>3937.451</v>
      </c>
    </row>
    <row r="471" spans="1:4" x14ac:dyDescent="0.25">
      <c r="A471" t="s">
        <v>1059</v>
      </c>
      <c r="B471" t="s">
        <v>1058</v>
      </c>
      <c r="C471" s="34">
        <v>44379</v>
      </c>
      <c r="D471" s="14">
        <v>1000</v>
      </c>
    </row>
    <row r="472" spans="1:4" x14ac:dyDescent="0.25">
      <c r="A472" t="s">
        <v>1243</v>
      </c>
      <c r="B472" t="s">
        <v>682</v>
      </c>
      <c r="C472" s="34">
        <v>44379</v>
      </c>
      <c r="D472" s="14">
        <v>761.42700000000002</v>
      </c>
    </row>
    <row r="473" spans="1:4" x14ac:dyDescent="0.25">
      <c r="A473" t="s">
        <v>144</v>
      </c>
      <c r="B473" t="s">
        <v>145</v>
      </c>
      <c r="C473" s="34">
        <v>44380</v>
      </c>
      <c r="D473" s="14">
        <v>1100.5899999999999</v>
      </c>
    </row>
    <row r="474" spans="1:4" x14ac:dyDescent="0.25">
      <c r="A474" t="s">
        <v>1157</v>
      </c>
      <c r="B474" t="s">
        <v>1156</v>
      </c>
      <c r="C474" s="34">
        <v>44380</v>
      </c>
      <c r="D474" s="14">
        <v>1204.354</v>
      </c>
    </row>
    <row r="475" spans="1:4" x14ac:dyDescent="0.25">
      <c r="A475" t="s">
        <v>218</v>
      </c>
      <c r="B475" t="s">
        <v>219</v>
      </c>
      <c r="C475" s="34">
        <v>44381</v>
      </c>
      <c r="D475" s="14">
        <v>1500</v>
      </c>
    </row>
    <row r="476" spans="1:4" x14ac:dyDescent="0.25">
      <c r="A476" t="s">
        <v>1092</v>
      </c>
      <c r="B476" t="s">
        <v>1091</v>
      </c>
      <c r="C476" s="34">
        <v>44381</v>
      </c>
      <c r="D476" s="14">
        <v>1806.9749999999999</v>
      </c>
    </row>
    <row r="477" spans="1:4" x14ac:dyDescent="0.25">
      <c r="A477" t="s">
        <v>877</v>
      </c>
      <c r="B477" t="s">
        <v>337</v>
      </c>
      <c r="C477" s="34">
        <v>44382</v>
      </c>
      <c r="D477" s="14">
        <v>6426.5829999999996</v>
      </c>
    </row>
    <row r="478" spans="1:4" x14ac:dyDescent="0.25">
      <c r="A478" t="s">
        <v>362</v>
      </c>
      <c r="B478" t="s">
        <v>343</v>
      </c>
      <c r="C478" s="34">
        <v>44382</v>
      </c>
      <c r="D478" s="14">
        <v>3335.607</v>
      </c>
    </row>
    <row r="479" spans="1:4" x14ac:dyDescent="0.25">
      <c r="A479" t="s">
        <v>392</v>
      </c>
      <c r="B479" t="s">
        <v>341</v>
      </c>
      <c r="C479" s="34">
        <v>44382</v>
      </c>
      <c r="D479" s="14">
        <v>628.36300000000006</v>
      </c>
    </row>
    <row r="480" spans="1:4" x14ac:dyDescent="0.25">
      <c r="A480" t="s">
        <v>711</v>
      </c>
      <c r="B480" t="s">
        <v>247</v>
      </c>
      <c r="C480" s="34">
        <v>44382</v>
      </c>
      <c r="D480" s="14">
        <v>4970.933</v>
      </c>
    </row>
    <row r="481" spans="1:4" x14ac:dyDescent="0.25">
      <c r="A481" t="s">
        <v>580</v>
      </c>
      <c r="B481" t="s">
        <v>349</v>
      </c>
      <c r="C481" s="34">
        <v>44382</v>
      </c>
      <c r="D481" s="14">
        <v>5792.1570000000002</v>
      </c>
    </row>
    <row r="482" spans="1:4" x14ac:dyDescent="0.25">
      <c r="A482" t="s">
        <v>889</v>
      </c>
      <c r="B482" t="s">
        <v>888</v>
      </c>
      <c r="C482" s="34">
        <v>44382</v>
      </c>
      <c r="D482" s="14">
        <v>354.637</v>
      </c>
    </row>
    <row r="483" spans="1:4" x14ac:dyDescent="0.25">
      <c r="A483" t="s">
        <v>954</v>
      </c>
      <c r="B483" t="s">
        <v>447</v>
      </c>
      <c r="C483" s="34">
        <v>44382</v>
      </c>
      <c r="D483" s="14">
        <v>709.44899999999996</v>
      </c>
    </row>
    <row r="484" spans="1:4" x14ac:dyDescent="0.25">
      <c r="A484" t="s">
        <v>953</v>
      </c>
      <c r="B484" t="s">
        <v>163</v>
      </c>
      <c r="C484" s="34">
        <v>44382</v>
      </c>
      <c r="D484" s="14">
        <v>2292.0520000000001</v>
      </c>
    </row>
    <row r="485" spans="1:4" x14ac:dyDescent="0.25">
      <c r="A485" t="s">
        <v>340</v>
      </c>
      <c r="B485" t="s">
        <v>188</v>
      </c>
      <c r="C485" s="34">
        <v>44382</v>
      </c>
      <c r="D485" s="14">
        <v>5611.6970000000001</v>
      </c>
    </row>
    <row r="486" spans="1:4" x14ac:dyDescent="0.25">
      <c r="A486" t="s">
        <v>550</v>
      </c>
      <c r="B486" t="s">
        <v>220</v>
      </c>
      <c r="C486" s="34">
        <v>44382</v>
      </c>
      <c r="D486" s="14">
        <v>2000</v>
      </c>
    </row>
    <row r="487" spans="1:4" x14ac:dyDescent="0.25">
      <c r="A487" t="s">
        <v>410</v>
      </c>
      <c r="B487" t="s">
        <v>356</v>
      </c>
      <c r="C487" s="34">
        <v>44382</v>
      </c>
      <c r="D487" s="14">
        <v>493.80700000000002</v>
      </c>
    </row>
    <row r="488" spans="1:4" x14ac:dyDescent="0.25">
      <c r="A488" t="s">
        <v>1066</v>
      </c>
      <c r="B488" t="s">
        <v>349</v>
      </c>
      <c r="C488" s="34">
        <v>44382</v>
      </c>
      <c r="D488" s="14">
        <v>1088.7819999999999</v>
      </c>
    </row>
    <row r="489" spans="1:4" x14ac:dyDescent="0.25">
      <c r="A489" t="s">
        <v>1090</v>
      </c>
      <c r="B489" t="s">
        <v>1089</v>
      </c>
      <c r="C489" s="34">
        <v>44382</v>
      </c>
      <c r="D489" s="14">
        <v>997.18299999999999</v>
      </c>
    </row>
    <row r="490" spans="1:4" x14ac:dyDescent="0.25">
      <c r="A490" t="s">
        <v>1242</v>
      </c>
      <c r="B490" t="s">
        <v>1241</v>
      </c>
      <c r="C490" s="34">
        <v>44382</v>
      </c>
      <c r="D490" s="14">
        <v>607.71299999999997</v>
      </c>
    </row>
    <row r="491" spans="1:4" x14ac:dyDescent="0.25">
      <c r="A491" t="s">
        <v>1068</v>
      </c>
      <c r="B491" t="s">
        <v>1067</v>
      </c>
      <c r="C491" s="34">
        <v>44382</v>
      </c>
      <c r="D491" s="14">
        <v>248.745</v>
      </c>
    </row>
    <row r="492" spans="1:4" x14ac:dyDescent="0.25">
      <c r="A492" t="s">
        <v>1155</v>
      </c>
      <c r="B492" t="s">
        <v>1154</v>
      </c>
      <c r="C492" s="34">
        <v>44382</v>
      </c>
      <c r="D492" s="14">
        <v>250</v>
      </c>
    </row>
    <row r="493" spans="1:4" x14ac:dyDescent="0.25">
      <c r="A493" t="s">
        <v>1077</v>
      </c>
      <c r="B493" t="s">
        <v>1076</v>
      </c>
      <c r="C493" s="34">
        <v>44382</v>
      </c>
      <c r="D493" s="14">
        <v>2000</v>
      </c>
    </row>
    <row r="494" spans="1:4" x14ac:dyDescent="0.25">
      <c r="A494" t="s">
        <v>879</v>
      </c>
      <c r="B494" t="s">
        <v>878</v>
      </c>
      <c r="C494" s="34">
        <v>44382</v>
      </c>
      <c r="D494" s="14">
        <v>1333.28</v>
      </c>
    </row>
    <row r="495" spans="1:4" x14ac:dyDescent="0.25">
      <c r="A495" t="s">
        <v>681</v>
      </c>
      <c r="B495" t="s">
        <v>680</v>
      </c>
      <c r="C495" s="34">
        <v>44382</v>
      </c>
      <c r="D495" s="14">
        <v>543.09400000000005</v>
      </c>
    </row>
    <row r="496" spans="1:4" x14ac:dyDescent="0.25">
      <c r="A496" t="s">
        <v>385</v>
      </c>
      <c r="B496" t="s">
        <v>384</v>
      </c>
      <c r="C496" s="34">
        <v>44382</v>
      </c>
      <c r="D496" s="14">
        <v>917.88800000000003</v>
      </c>
    </row>
    <row r="497" spans="1:4" x14ac:dyDescent="0.25">
      <c r="A497" t="s">
        <v>520</v>
      </c>
      <c r="B497" t="s">
        <v>360</v>
      </c>
      <c r="C497" s="34">
        <v>44382</v>
      </c>
      <c r="D497" s="14">
        <v>950</v>
      </c>
    </row>
    <row r="498" spans="1:4" x14ac:dyDescent="0.25">
      <c r="A498" t="s">
        <v>520</v>
      </c>
      <c r="B498" t="s">
        <v>360</v>
      </c>
      <c r="C498" s="34">
        <v>44382</v>
      </c>
      <c r="D498" s="14">
        <v>950</v>
      </c>
    </row>
    <row r="499" spans="1:4" x14ac:dyDescent="0.25">
      <c r="A499" t="s">
        <v>767</v>
      </c>
      <c r="B499" t="s">
        <v>342</v>
      </c>
      <c r="C499" s="34">
        <v>44382</v>
      </c>
      <c r="D499" s="14">
        <v>17665.756000000001</v>
      </c>
    </row>
    <row r="500" spans="1:4" x14ac:dyDescent="0.25">
      <c r="A500" t="s">
        <v>126</v>
      </c>
      <c r="B500" t="s">
        <v>127</v>
      </c>
      <c r="C500" s="34">
        <v>44382</v>
      </c>
      <c r="D500" s="14">
        <v>1500</v>
      </c>
    </row>
    <row r="501" spans="1:4" x14ac:dyDescent="0.25">
      <c r="A501" t="s">
        <v>526</v>
      </c>
      <c r="B501" t="s">
        <v>527</v>
      </c>
      <c r="C501" s="34">
        <v>44382</v>
      </c>
      <c r="D501" s="14">
        <v>940.42100000000005</v>
      </c>
    </row>
    <row r="502" spans="1:4" x14ac:dyDescent="0.25">
      <c r="A502" t="s">
        <v>1028</v>
      </c>
      <c r="B502" t="s">
        <v>471</v>
      </c>
      <c r="C502" s="34">
        <v>44382</v>
      </c>
      <c r="D502" s="14">
        <v>1308.78</v>
      </c>
    </row>
    <row r="503" spans="1:4" x14ac:dyDescent="0.25">
      <c r="A503" t="s">
        <v>261</v>
      </c>
      <c r="B503" t="s">
        <v>262</v>
      </c>
      <c r="C503" s="34">
        <v>44382</v>
      </c>
      <c r="D503" s="14">
        <v>2348</v>
      </c>
    </row>
    <row r="504" spans="1:4" x14ac:dyDescent="0.25">
      <c r="A504" t="s">
        <v>142</v>
      </c>
      <c r="B504" t="s">
        <v>143</v>
      </c>
      <c r="C504" s="34">
        <v>44382</v>
      </c>
      <c r="D504" s="14">
        <v>1000</v>
      </c>
    </row>
    <row r="505" spans="1:4" x14ac:dyDescent="0.25">
      <c r="A505" t="s">
        <v>161</v>
      </c>
      <c r="B505" t="s">
        <v>162</v>
      </c>
      <c r="C505" s="34">
        <v>44383</v>
      </c>
      <c r="D505" s="14">
        <v>4969.3410000000003</v>
      </c>
    </row>
    <row r="506" spans="1:4" x14ac:dyDescent="0.25">
      <c r="A506" t="s">
        <v>556</v>
      </c>
      <c r="B506" t="s">
        <v>555</v>
      </c>
      <c r="C506" s="34">
        <v>44383</v>
      </c>
      <c r="D506" s="14">
        <v>360</v>
      </c>
    </row>
    <row r="507" spans="1:4" x14ac:dyDescent="0.25">
      <c r="A507" t="s">
        <v>1136</v>
      </c>
      <c r="B507" t="s">
        <v>1135</v>
      </c>
      <c r="C507" s="34">
        <v>44383</v>
      </c>
      <c r="D507" s="14">
        <v>223.7</v>
      </c>
    </row>
    <row r="508" spans="1:4" x14ac:dyDescent="0.25">
      <c r="A508" t="s">
        <v>793</v>
      </c>
      <c r="B508" t="s">
        <v>792</v>
      </c>
      <c r="C508" s="34">
        <v>44383</v>
      </c>
      <c r="D508" s="14">
        <v>1754.664</v>
      </c>
    </row>
    <row r="509" spans="1:4" x14ac:dyDescent="0.25">
      <c r="A509" t="s">
        <v>1150</v>
      </c>
      <c r="B509" t="s">
        <v>470</v>
      </c>
      <c r="C509" s="34">
        <v>44383</v>
      </c>
      <c r="D509" s="14">
        <v>808.31799999999998</v>
      </c>
    </row>
    <row r="510" spans="1:4" x14ac:dyDescent="0.25">
      <c r="A510" t="s">
        <v>1149</v>
      </c>
      <c r="B510" t="s">
        <v>1148</v>
      </c>
      <c r="C510" s="34">
        <v>44383</v>
      </c>
      <c r="D510" s="14">
        <v>1000</v>
      </c>
    </row>
    <row r="511" spans="1:4" x14ac:dyDescent="0.25">
      <c r="A511" t="s">
        <v>1149</v>
      </c>
      <c r="B511" t="s">
        <v>1148</v>
      </c>
      <c r="C511" s="34">
        <v>44383</v>
      </c>
      <c r="D511" s="14">
        <v>1000</v>
      </c>
    </row>
    <row r="512" spans="1:4" x14ac:dyDescent="0.25">
      <c r="A512" t="s">
        <v>172</v>
      </c>
      <c r="B512" t="s">
        <v>173</v>
      </c>
      <c r="C512" s="34">
        <v>44384</v>
      </c>
      <c r="D512" s="14">
        <v>1500</v>
      </c>
    </row>
    <row r="513" spans="1:4" x14ac:dyDescent="0.25">
      <c r="A513" t="s">
        <v>148</v>
      </c>
      <c r="B513" t="s">
        <v>149</v>
      </c>
      <c r="C513" s="34">
        <v>44384</v>
      </c>
      <c r="D513" s="14">
        <v>3933.74</v>
      </c>
    </row>
    <row r="514" spans="1:4" s="312" customFormat="1" x14ac:dyDescent="0.25">
      <c r="A514" t="s">
        <v>146</v>
      </c>
      <c r="B514" t="s">
        <v>147</v>
      </c>
      <c r="C514" s="34">
        <v>44384</v>
      </c>
      <c r="D514" s="14">
        <v>1365.335</v>
      </c>
    </row>
    <row r="515" spans="1:4" x14ac:dyDescent="0.25">
      <c r="A515" t="s">
        <v>216</v>
      </c>
      <c r="B515" t="s">
        <v>217</v>
      </c>
      <c r="C515" s="34">
        <v>44385</v>
      </c>
      <c r="D515" s="14">
        <v>6447.74</v>
      </c>
    </row>
    <row r="516" spans="1:4" x14ac:dyDescent="0.25">
      <c r="A516" t="s">
        <v>392</v>
      </c>
      <c r="B516" t="s">
        <v>341</v>
      </c>
      <c r="C516" s="34">
        <v>44385</v>
      </c>
      <c r="D516" s="14">
        <v>1070</v>
      </c>
    </row>
    <row r="517" spans="1:4" x14ac:dyDescent="0.25">
      <c r="A517" t="s">
        <v>144</v>
      </c>
      <c r="B517" t="s">
        <v>145</v>
      </c>
      <c r="C517" s="34">
        <v>44385</v>
      </c>
      <c r="D517" s="14">
        <v>1100.5899999999999</v>
      </c>
    </row>
    <row r="518" spans="1:4" x14ac:dyDescent="0.25">
      <c r="A518" t="s">
        <v>996</v>
      </c>
      <c r="B518" t="s">
        <v>446</v>
      </c>
      <c r="C518" s="34">
        <v>44385</v>
      </c>
      <c r="D518" s="14">
        <v>550</v>
      </c>
    </row>
    <row r="519" spans="1:4" x14ac:dyDescent="0.25">
      <c r="A519" t="s">
        <v>1153</v>
      </c>
      <c r="B519" t="s">
        <v>487</v>
      </c>
      <c r="C519" s="34">
        <v>44385</v>
      </c>
      <c r="D519" s="14">
        <v>3815</v>
      </c>
    </row>
    <row r="520" spans="1:4" x14ac:dyDescent="0.25">
      <c r="A520" t="s">
        <v>218</v>
      </c>
      <c r="B520" t="s">
        <v>219</v>
      </c>
      <c r="C520" s="34">
        <v>44385</v>
      </c>
      <c r="D520" s="14">
        <v>1500</v>
      </c>
    </row>
    <row r="521" spans="1:4" x14ac:dyDescent="0.25">
      <c r="A521" t="s">
        <v>632</v>
      </c>
      <c r="B521" t="s">
        <v>631</v>
      </c>
      <c r="C521" s="34">
        <v>44385</v>
      </c>
      <c r="D521" s="14">
        <v>2317.31</v>
      </c>
    </row>
    <row r="522" spans="1:4" x14ac:dyDescent="0.25">
      <c r="A522" t="s">
        <v>1357</v>
      </c>
      <c r="B522" t="s">
        <v>1356</v>
      </c>
      <c r="C522" s="34">
        <v>44385</v>
      </c>
      <c r="D522" s="14">
        <v>521.82000000000005</v>
      </c>
    </row>
    <row r="523" spans="1:4" x14ac:dyDescent="0.25">
      <c r="A523" t="s">
        <v>556</v>
      </c>
      <c r="B523" t="s">
        <v>555</v>
      </c>
      <c r="C523" s="34">
        <v>44386</v>
      </c>
      <c r="D523" s="14">
        <v>401.428</v>
      </c>
    </row>
    <row r="524" spans="1:4" x14ac:dyDescent="0.25">
      <c r="A524" t="s">
        <v>908</v>
      </c>
      <c r="B524" t="s">
        <v>907</v>
      </c>
      <c r="C524" s="34">
        <v>44386</v>
      </c>
      <c r="D524" s="14">
        <v>671.26</v>
      </c>
    </row>
    <row r="525" spans="1:4" x14ac:dyDescent="0.25">
      <c r="A525" t="s">
        <v>363</v>
      </c>
      <c r="B525" t="s">
        <v>365</v>
      </c>
      <c r="C525" s="34">
        <v>44386</v>
      </c>
      <c r="D525" s="14">
        <v>1830.0730000000001</v>
      </c>
    </row>
    <row r="526" spans="1:4" x14ac:dyDescent="0.25">
      <c r="A526" t="s">
        <v>1152</v>
      </c>
      <c r="B526" t="s">
        <v>1151</v>
      </c>
      <c r="C526" s="34">
        <v>44386</v>
      </c>
      <c r="D526" s="14">
        <v>1623.1210000000001</v>
      </c>
    </row>
    <row r="527" spans="1:4" x14ac:dyDescent="0.25">
      <c r="A527" t="s">
        <v>126</v>
      </c>
      <c r="B527" t="s">
        <v>127</v>
      </c>
      <c r="C527" s="34">
        <v>44386</v>
      </c>
      <c r="D527" s="14">
        <v>1500</v>
      </c>
    </row>
    <row r="528" spans="1:4" x14ac:dyDescent="0.25">
      <c r="A528" t="s">
        <v>1059</v>
      </c>
      <c r="B528" t="s">
        <v>1058</v>
      </c>
      <c r="C528" s="34">
        <v>44386</v>
      </c>
      <c r="D528" s="14">
        <v>1000</v>
      </c>
    </row>
    <row r="529" spans="1:4" x14ac:dyDescent="0.25">
      <c r="A529" t="s">
        <v>881</v>
      </c>
      <c r="B529" t="s">
        <v>880</v>
      </c>
      <c r="C529" s="34">
        <v>44387</v>
      </c>
      <c r="D529" s="14">
        <v>5000</v>
      </c>
    </row>
    <row r="530" spans="1:4" x14ac:dyDescent="0.25">
      <c r="A530" t="s">
        <v>565</v>
      </c>
      <c r="B530" t="s">
        <v>564</v>
      </c>
      <c r="C530" s="34">
        <v>44387</v>
      </c>
      <c r="D530" s="14">
        <v>1354.8219999999999</v>
      </c>
    </row>
    <row r="531" spans="1:4" x14ac:dyDescent="0.25">
      <c r="A531" t="s">
        <v>232</v>
      </c>
      <c r="B531" t="s">
        <v>233</v>
      </c>
      <c r="C531" s="34">
        <v>44387</v>
      </c>
      <c r="D531" s="14">
        <v>2500</v>
      </c>
    </row>
    <row r="532" spans="1:4" x14ac:dyDescent="0.25">
      <c r="A532" t="s">
        <v>877</v>
      </c>
      <c r="B532" t="s">
        <v>337</v>
      </c>
      <c r="C532" s="34">
        <v>44387</v>
      </c>
      <c r="D532" s="14">
        <v>6426.5829999999996</v>
      </c>
    </row>
    <row r="533" spans="1:4" x14ac:dyDescent="0.25">
      <c r="A533" t="s">
        <v>392</v>
      </c>
      <c r="B533" t="s">
        <v>341</v>
      </c>
      <c r="C533" s="34">
        <v>44387</v>
      </c>
      <c r="D533" s="14">
        <v>930</v>
      </c>
    </row>
    <row r="534" spans="1:4" x14ac:dyDescent="0.25">
      <c r="A534" t="s">
        <v>353</v>
      </c>
      <c r="B534" t="s">
        <v>164</v>
      </c>
      <c r="C534" s="34">
        <v>44387</v>
      </c>
      <c r="D534" s="14">
        <v>980</v>
      </c>
    </row>
    <row r="535" spans="1:4" x14ac:dyDescent="0.25">
      <c r="A535" t="s">
        <v>424</v>
      </c>
      <c r="B535" t="s">
        <v>320</v>
      </c>
      <c r="C535" s="34">
        <v>44387</v>
      </c>
      <c r="D535" s="14">
        <v>8403.3919999999998</v>
      </c>
    </row>
    <row r="536" spans="1:4" x14ac:dyDescent="0.25">
      <c r="A536" t="s">
        <v>335</v>
      </c>
      <c r="B536" t="s">
        <v>208</v>
      </c>
      <c r="C536" s="34">
        <v>44387</v>
      </c>
      <c r="D536" s="14">
        <v>1091.963</v>
      </c>
    </row>
    <row r="537" spans="1:4" x14ac:dyDescent="0.25">
      <c r="A537" t="s">
        <v>859</v>
      </c>
      <c r="B537" t="s">
        <v>858</v>
      </c>
      <c r="C537" s="34">
        <v>44387</v>
      </c>
      <c r="D537" s="14">
        <v>2288.1489999999999</v>
      </c>
    </row>
    <row r="538" spans="1:4" x14ac:dyDescent="0.25">
      <c r="A538" t="s">
        <v>544</v>
      </c>
      <c r="B538" t="s">
        <v>304</v>
      </c>
      <c r="C538" s="34">
        <v>44387</v>
      </c>
      <c r="D538" s="14">
        <v>12698.767</v>
      </c>
    </row>
    <row r="539" spans="1:4" x14ac:dyDescent="0.25">
      <c r="A539" t="s">
        <v>546</v>
      </c>
      <c r="B539" t="s">
        <v>466</v>
      </c>
      <c r="C539" s="34">
        <v>44387</v>
      </c>
      <c r="D539" s="14">
        <v>688.87599999999998</v>
      </c>
    </row>
    <row r="540" spans="1:4" x14ac:dyDescent="0.25">
      <c r="A540" t="s">
        <v>1065</v>
      </c>
      <c r="B540" t="s">
        <v>1064</v>
      </c>
      <c r="C540" s="34">
        <v>44387</v>
      </c>
      <c r="D540" s="14">
        <v>471.07299999999998</v>
      </c>
    </row>
    <row r="541" spans="1:4" x14ac:dyDescent="0.25">
      <c r="A541" t="s">
        <v>393</v>
      </c>
      <c r="B541" t="s">
        <v>150</v>
      </c>
      <c r="C541" s="34">
        <v>44387</v>
      </c>
      <c r="D541" s="14">
        <v>1870.847</v>
      </c>
    </row>
    <row r="542" spans="1:4" x14ac:dyDescent="0.25">
      <c r="A542" t="s">
        <v>571</v>
      </c>
      <c r="B542" t="s">
        <v>570</v>
      </c>
      <c r="C542" s="34">
        <v>44387</v>
      </c>
      <c r="D542" s="14">
        <v>818.29700000000003</v>
      </c>
    </row>
    <row r="543" spans="1:4" x14ac:dyDescent="0.25">
      <c r="A543" t="s">
        <v>1061</v>
      </c>
      <c r="B543" t="s">
        <v>1060</v>
      </c>
      <c r="C543" s="34">
        <v>44387</v>
      </c>
      <c r="D543" s="14">
        <v>254.4</v>
      </c>
    </row>
    <row r="544" spans="1:4" x14ac:dyDescent="0.25">
      <c r="A544" t="s">
        <v>461</v>
      </c>
      <c r="B544" t="s">
        <v>260</v>
      </c>
      <c r="C544" s="34">
        <v>44387</v>
      </c>
      <c r="D544" s="14">
        <v>546.38199999999995</v>
      </c>
    </row>
    <row r="545" spans="1:4" x14ac:dyDescent="0.25">
      <c r="A545" t="s">
        <v>902</v>
      </c>
      <c r="B545" t="s">
        <v>176</v>
      </c>
      <c r="C545" s="34">
        <v>44387</v>
      </c>
      <c r="D545" s="14">
        <v>1098.453</v>
      </c>
    </row>
    <row r="546" spans="1:4" x14ac:dyDescent="0.25">
      <c r="A546" t="s">
        <v>851</v>
      </c>
      <c r="B546" t="s">
        <v>852</v>
      </c>
      <c r="C546" s="34">
        <v>44387</v>
      </c>
      <c r="D546" s="14">
        <v>848.33199999999999</v>
      </c>
    </row>
    <row r="547" spans="1:4" x14ac:dyDescent="0.25">
      <c r="A547" t="s">
        <v>1134</v>
      </c>
      <c r="B547" t="s">
        <v>712</v>
      </c>
      <c r="C547" s="34">
        <v>44387</v>
      </c>
      <c r="D547" s="14">
        <v>5589.4769999999999</v>
      </c>
    </row>
    <row r="548" spans="1:4" x14ac:dyDescent="0.25">
      <c r="A548" t="s">
        <v>598</v>
      </c>
      <c r="B548" t="s">
        <v>545</v>
      </c>
      <c r="C548" s="34">
        <v>44387</v>
      </c>
      <c r="D548" s="14">
        <v>1616.153</v>
      </c>
    </row>
    <row r="549" spans="1:4" x14ac:dyDescent="0.25">
      <c r="A549" t="s">
        <v>931</v>
      </c>
      <c r="B549" t="s">
        <v>736</v>
      </c>
      <c r="C549" s="34">
        <v>44387</v>
      </c>
      <c r="D549" s="14">
        <v>1090.9480000000001</v>
      </c>
    </row>
    <row r="550" spans="1:4" x14ac:dyDescent="0.25">
      <c r="A550" t="s">
        <v>546</v>
      </c>
      <c r="B550" t="s">
        <v>466</v>
      </c>
      <c r="C550" s="34">
        <v>44387</v>
      </c>
      <c r="D550" s="14">
        <v>866.45500000000004</v>
      </c>
    </row>
    <row r="551" spans="1:4" x14ac:dyDescent="0.25">
      <c r="A551" t="s">
        <v>558</v>
      </c>
      <c r="B551" t="s">
        <v>557</v>
      </c>
      <c r="C551" s="34">
        <v>44387</v>
      </c>
      <c r="D551" s="14">
        <v>1140</v>
      </c>
    </row>
    <row r="552" spans="1:4" x14ac:dyDescent="0.25">
      <c r="A552" t="s">
        <v>153</v>
      </c>
      <c r="B552" t="s">
        <v>154</v>
      </c>
      <c r="C552" s="34">
        <v>44387</v>
      </c>
      <c r="D552" s="14">
        <v>624.89400000000001</v>
      </c>
    </row>
    <row r="553" spans="1:4" x14ac:dyDescent="0.25">
      <c r="A553" t="s">
        <v>170</v>
      </c>
      <c r="B553" t="s">
        <v>171</v>
      </c>
      <c r="C553" s="34">
        <v>44387</v>
      </c>
      <c r="D553" s="14">
        <v>2714.6559999999999</v>
      </c>
    </row>
    <row r="554" spans="1:4" x14ac:dyDescent="0.25">
      <c r="A554" t="s">
        <v>437</v>
      </c>
      <c r="B554" t="s">
        <v>436</v>
      </c>
      <c r="C554" s="34">
        <v>44387</v>
      </c>
      <c r="D554" s="14">
        <v>1421.973</v>
      </c>
    </row>
    <row r="555" spans="1:4" x14ac:dyDescent="0.25">
      <c r="A555" t="s">
        <v>153</v>
      </c>
      <c r="B555" t="s">
        <v>154</v>
      </c>
      <c r="C555" s="34">
        <v>44387</v>
      </c>
      <c r="D555" s="14">
        <v>870</v>
      </c>
    </row>
    <row r="556" spans="1:4" x14ac:dyDescent="0.25">
      <c r="A556" t="s">
        <v>793</v>
      </c>
      <c r="B556" t="s">
        <v>792</v>
      </c>
      <c r="C556" s="34">
        <v>44387</v>
      </c>
      <c r="D556" s="14">
        <v>1350</v>
      </c>
    </row>
    <row r="557" spans="1:4" x14ac:dyDescent="0.25">
      <c r="A557" t="s">
        <v>428</v>
      </c>
      <c r="B557" t="s">
        <v>416</v>
      </c>
      <c r="C557" s="34">
        <v>44387</v>
      </c>
      <c r="D557" s="14">
        <v>6726.1379999999999</v>
      </c>
    </row>
    <row r="558" spans="1:4" x14ac:dyDescent="0.25">
      <c r="A558" t="s">
        <v>1027</v>
      </c>
      <c r="B558" t="s">
        <v>1026</v>
      </c>
      <c r="C558" s="34">
        <v>44387</v>
      </c>
      <c r="D558" s="14">
        <v>1000</v>
      </c>
    </row>
    <row r="559" spans="1:4" x14ac:dyDescent="0.25">
      <c r="A559" t="s">
        <v>887</v>
      </c>
      <c r="B559" t="s">
        <v>886</v>
      </c>
      <c r="C559" s="34">
        <v>44387</v>
      </c>
      <c r="D559" s="14">
        <v>2040</v>
      </c>
    </row>
    <row r="560" spans="1:4" x14ac:dyDescent="0.25">
      <c r="A560" t="s">
        <v>385</v>
      </c>
      <c r="B560" t="s">
        <v>384</v>
      </c>
      <c r="C560" s="34">
        <v>44387</v>
      </c>
      <c r="D560" s="14">
        <v>917.88800000000003</v>
      </c>
    </row>
    <row r="561" spans="1:4" x14ac:dyDescent="0.25">
      <c r="A561" t="s">
        <v>676</v>
      </c>
      <c r="B561" t="s">
        <v>675</v>
      </c>
      <c r="C561" s="34">
        <v>44387</v>
      </c>
      <c r="D561" s="14">
        <v>661.92499999999995</v>
      </c>
    </row>
    <row r="562" spans="1:4" x14ac:dyDescent="0.25">
      <c r="A562" t="s">
        <v>744</v>
      </c>
      <c r="B562" t="s">
        <v>743</v>
      </c>
      <c r="C562" s="34">
        <v>44387</v>
      </c>
      <c r="D562" s="14">
        <v>4000</v>
      </c>
    </row>
    <row r="563" spans="1:4" x14ac:dyDescent="0.25">
      <c r="A563" t="s">
        <v>573</v>
      </c>
      <c r="B563" t="s">
        <v>572</v>
      </c>
      <c r="C563" s="34">
        <v>44387</v>
      </c>
      <c r="D563" s="14">
        <v>1496.366</v>
      </c>
    </row>
    <row r="564" spans="1:4" x14ac:dyDescent="0.25">
      <c r="A564" t="s">
        <v>935</v>
      </c>
      <c r="B564" t="s">
        <v>934</v>
      </c>
      <c r="C564" s="34">
        <v>44387</v>
      </c>
      <c r="D564" s="14">
        <v>800</v>
      </c>
    </row>
    <row r="565" spans="1:4" x14ac:dyDescent="0.25">
      <c r="A565" t="s">
        <v>234</v>
      </c>
      <c r="B565" t="s">
        <v>235</v>
      </c>
      <c r="C565" s="34">
        <v>44387</v>
      </c>
      <c r="D565" s="14">
        <v>4000</v>
      </c>
    </row>
    <row r="566" spans="1:4" x14ac:dyDescent="0.25">
      <c r="A566" t="s">
        <v>1057</v>
      </c>
      <c r="B566" t="s">
        <v>1056</v>
      </c>
      <c r="C566" s="34">
        <v>44387</v>
      </c>
      <c r="D566" s="14">
        <v>2000</v>
      </c>
    </row>
    <row r="567" spans="1:4" x14ac:dyDescent="0.25">
      <c r="A567" t="s">
        <v>120</v>
      </c>
      <c r="B567" t="s">
        <v>121</v>
      </c>
      <c r="C567" s="34">
        <v>44387</v>
      </c>
      <c r="D567" s="14">
        <v>1000</v>
      </c>
    </row>
    <row r="568" spans="1:4" x14ac:dyDescent="0.25">
      <c r="A568" t="s">
        <v>261</v>
      </c>
      <c r="B568" t="s">
        <v>262</v>
      </c>
      <c r="C568" s="34">
        <v>44387</v>
      </c>
      <c r="D568" s="14">
        <v>2348</v>
      </c>
    </row>
    <row r="569" spans="1:4" s="312" customFormat="1" x14ac:dyDescent="0.25">
      <c r="A569" t="s">
        <v>157</v>
      </c>
      <c r="B569" t="s">
        <v>158</v>
      </c>
      <c r="C569" s="34">
        <v>44387</v>
      </c>
      <c r="D569" s="14">
        <v>921.42700000000002</v>
      </c>
    </row>
    <row r="570" spans="1:4" x14ac:dyDescent="0.25">
      <c r="A570" t="s">
        <v>142</v>
      </c>
      <c r="B570" t="s">
        <v>143</v>
      </c>
      <c r="C570" s="34">
        <v>44387</v>
      </c>
      <c r="D570" s="14">
        <v>1000</v>
      </c>
    </row>
    <row r="571" spans="1:4" x14ac:dyDescent="0.25">
      <c r="A571" t="s">
        <v>632</v>
      </c>
      <c r="B571" t="s">
        <v>631</v>
      </c>
      <c r="C571" s="34">
        <v>44387</v>
      </c>
      <c r="D571" s="14">
        <v>2000</v>
      </c>
    </row>
    <row r="572" spans="1:4" x14ac:dyDescent="0.25">
      <c r="A572" t="s">
        <v>353</v>
      </c>
      <c r="B572" t="s">
        <v>164</v>
      </c>
      <c r="C572" s="34">
        <v>44388</v>
      </c>
      <c r="D572" s="14">
        <v>935</v>
      </c>
    </row>
    <row r="573" spans="1:4" x14ac:dyDescent="0.25">
      <c r="A573" t="s">
        <v>161</v>
      </c>
      <c r="B573" t="s">
        <v>162</v>
      </c>
      <c r="C573" s="34">
        <v>44389</v>
      </c>
      <c r="D573" s="14">
        <v>3230</v>
      </c>
    </row>
    <row r="574" spans="1:4" x14ac:dyDescent="0.25">
      <c r="A574" t="s">
        <v>353</v>
      </c>
      <c r="B574" t="s">
        <v>164</v>
      </c>
      <c r="C574" s="34">
        <v>44389</v>
      </c>
      <c r="D574" s="14">
        <v>970</v>
      </c>
    </row>
    <row r="575" spans="1:4" s="312" customFormat="1" x14ac:dyDescent="0.25">
      <c r="A575" t="s">
        <v>306</v>
      </c>
      <c r="B575" t="s">
        <v>305</v>
      </c>
      <c r="C575" s="34">
        <v>44389</v>
      </c>
      <c r="D575" s="14">
        <v>5164.7430000000004</v>
      </c>
    </row>
    <row r="576" spans="1:4" x14ac:dyDescent="0.25">
      <c r="A576" t="s">
        <v>178</v>
      </c>
      <c r="B576" t="s">
        <v>179</v>
      </c>
      <c r="C576" s="34">
        <v>44389</v>
      </c>
      <c r="D576" s="14">
        <v>2780</v>
      </c>
    </row>
    <row r="577" spans="1:4" s="312" customFormat="1" x14ac:dyDescent="0.25">
      <c r="A577" t="s">
        <v>225</v>
      </c>
      <c r="B577" t="s">
        <v>122</v>
      </c>
      <c r="C577" s="34">
        <v>44389</v>
      </c>
      <c r="D577" s="14">
        <v>722.42399999999998</v>
      </c>
    </row>
    <row r="578" spans="1:4" x14ac:dyDescent="0.25">
      <c r="A578" t="s">
        <v>126</v>
      </c>
      <c r="B578" t="s">
        <v>127</v>
      </c>
      <c r="C578" s="34">
        <v>44389</v>
      </c>
      <c r="D578" s="14">
        <v>1000</v>
      </c>
    </row>
    <row r="579" spans="1:4" x14ac:dyDescent="0.25">
      <c r="A579" t="s">
        <v>1149</v>
      </c>
      <c r="B579" t="s">
        <v>1148</v>
      </c>
      <c r="C579" s="34">
        <v>44389</v>
      </c>
      <c r="D579" s="14">
        <v>1000</v>
      </c>
    </row>
    <row r="580" spans="1:4" x14ac:dyDescent="0.25">
      <c r="A580" t="s">
        <v>261</v>
      </c>
      <c r="B580" t="s">
        <v>262</v>
      </c>
      <c r="C580" s="34">
        <v>44390</v>
      </c>
      <c r="D580" s="14">
        <v>2131.54</v>
      </c>
    </row>
    <row r="581" spans="1:4" x14ac:dyDescent="0.25">
      <c r="A581" t="s">
        <v>554</v>
      </c>
      <c r="B581" t="s">
        <v>553</v>
      </c>
      <c r="C581" s="34">
        <v>44390</v>
      </c>
      <c r="D581" s="14">
        <v>459.82900000000001</v>
      </c>
    </row>
    <row r="582" spans="1:4" x14ac:dyDescent="0.25">
      <c r="A582" t="s">
        <v>159</v>
      </c>
      <c r="B582" t="s">
        <v>160</v>
      </c>
      <c r="C582" s="34">
        <v>44390</v>
      </c>
      <c r="D582" s="14">
        <v>2000</v>
      </c>
    </row>
    <row r="583" spans="1:4" x14ac:dyDescent="0.25">
      <c r="A583" t="s">
        <v>353</v>
      </c>
      <c r="B583" t="s">
        <v>164</v>
      </c>
      <c r="C583" s="34">
        <v>44391</v>
      </c>
      <c r="D583" s="14">
        <v>965</v>
      </c>
    </row>
    <row r="584" spans="1:4" x14ac:dyDescent="0.25">
      <c r="A584" t="s">
        <v>144</v>
      </c>
      <c r="B584" t="s">
        <v>145</v>
      </c>
      <c r="C584" s="34">
        <v>44392</v>
      </c>
      <c r="D584" s="14">
        <v>1100.5899999999999</v>
      </c>
    </row>
    <row r="585" spans="1:4" x14ac:dyDescent="0.25">
      <c r="A585" t="s">
        <v>818</v>
      </c>
      <c r="B585" t="s">
        <v>817</v>
      </c>
      <c r="C585" s="34">
        <v>44392</v>
      </c>
      <c r="D585" s="14">
        <v>15000</v>
      </c>
    </row>
    <row r="586" spans="1:4" x14ac:dyDescent="0.25">
      <c r="A586" t="s">
        <v>592</v>
      </c>
      <c r="B586" t="s">
        <v>184</v>
      </c>
      <c r="C586" s="34">
        <v>44392</v>
      </c>
      <c r="D586" s="14">
        <v>1187.712</v>
      </c>
    </row>
    <row r="587" spans="1:4" x14ac:dyDescent="0.25">
      <c r="A587" t="s">
        <v>386</v>
      </c>
      <c r="B587" t="s">
        <v>132</v>
      </c>
      <c r="C587" s="34">
        <v>44392</v>
      </c>
      <c r="D587" s="14">
        <v>3900</v>
      </c>
    </row>
    <row r="588" spans="1:4" x14ac:dyDescent="0.25">
      <c r="A588" t="s">
        <v>448</v>
      </c>
      <c r="B588" t="s">
        <v>447</v>
      </c>
      <c r="C588" s="34">
        <v>44392</v>
      </c>
      <c r="D588" s="14">
        <v>600</v>
      </c>
    </row>
    <row r="589" spans="1:4" x14ac:dyDescent="0.25">
      <c r="A589" t="s">
        <v>426</v>
      </c>
      <c r="B589" t="s">
        <v>180</v>
      </c>
      <c r="C589" s="34">
        <v>44392</v>
      </c>
      <c r="D589" s="14">
        <v>1000</v>
      </c>
    </row>
    <row r="590" spans="1:4" x14ac:dyDescent="0.25">
      <c r="A590" t="s">
        <v>478</v>
      </c>
      <c r="B590" t="s">
        <v>404</v>
      </c>
      <c r="C590" s="34">
        <v>44392</v>
      </c>
      <c r="D590" s="14">
        <v>1218.1949999999999</v>
      </c>
    </row>
    <row r="591" spans="1:4" x14ac:dyDescent="0.25">
      <c r="A591" t="s">
        <v>1063</v>
      </c>
      <c r="B591" t="s">
        <v>1062</v>
      </c>
      <c r="C591" s="34">
        <v>44392</v>
      </c>
      <c r="D591" s="14">
        <v>9801.3850000000002</v>
      </c>
    </row>
    <row r="592" spans="1:4" x14ac:dyDescent="0.25">
      <c r="A592" t="s">
        <v>1035</v>
      </c>
      <c r="B592" t="s">
        <v>1034</v>
      </c>
      <c r="C592" s="34">
        <v>44392</v>
      </c>
      <c r="D592" s="14">
        <v>1785.096</v>
      </c>
    </row>
    <row r="593" spans="1:4" x14ac:dyDescent="0.25">
      <c r="A593" t="s">
        <v>927</v>
      </c>
      <c r="B593" t="s">
        <v>128</v>
      </c>
      <c r="C593" s="34">
        <v>44392</v>
      </c>
      <c r="D593" s="14">
        <v>445.33300000000003</v>
      </c>
    </row>
    <row r="594" spans="1:4" x14ac:dyDescent="0.25">
      <c r="A594" t="s">
        <v>882</v>
      </c>
      <c r="B594" t="s">
        <v>677</v>
      </c>
      <c r="C594" s="34">
        <v>44392</v>
      </c>
      <c r="D594" s="14">
        <v>2292.69</v>
      </c>
    </row>
    <row r="595" spans="1:4" x14ac:dyDescent="0.25">
      <c r="A595" t="s">
        <v>491</v>
      </c>
      <c r="B595" t="s">
        <v>359</v>
      </c>
      <c r="C595" s="34">
        <v>44392</v>
      </c>
      <c r="D595" s="14">
        <v>850.54600000000005</v>
      </c>
    </row>
    <row r="596" spans="1:4" x14ac:dyDescent="0.25">
      <c r="A596" t="s">
        <v>136</v>
      </c>
      <c r="B596" t="s">
        <v>137</v>
      </c>
      <c r="C596" s="34">
        <v>44392</v>
      </c>
      <c r="D596" s="14">
        <v>4038.8139999999999</v>
      </c>
    </row>
    <row r="597" spans="1:4" x14ac:dyDescent="0.25">
      <c r="A597" t="s">
        <v>228</v>
      </c>
      <c r="B597" t="s">
        <v>229</v>
      </c>
      <c r="C597" s="34">
        <v>44392</v>
      </c>
      <c r="D597" s="14">
        <v>2560.7539999999999</v>
      </c>
    </row>
    <row r="598" spans="1:4" x14ac:dyDescent="0.25">
      <c r="A598" t="s">
        <v>439</v>
      </c>
      <c r="B598" t="s">
        <v>438</v>
      </c>
      <c r="C598" s="34">
        <v>44392</v>
      </c>
      <c r="D598" s="14">
        <v>3885.355</v>
      </c>
    </row>
    <row r="599" spans="1:4" x14ac:dyDescent="0.25">
      <c r="A599" t="s">
        <v>153</v>
      </c>
      <c r="B599" t="s">
        <v>154</v>
      </c>
      <c r="C599" s="34">
        <v>44392</v>
      </c>
      <c r="D599" s="14">
        <v>783</v>
      </c>
    </row>
    <row r="600" spans="1:4" x14ac:dyDescent="0.25">
      <c r="A600" t="s">
        <v>178</v>
      </c>
      <c r="B600" t="s">
        <v>179</v>
      </c>
      <c r="C600" s="34">
        <v>44392</v>
      </c>
      <c r="D600" s="14">
        <v>2796.424</v>
      </c>
    </row>
    <row r="601" spans="1:4" x14ac:dyDescent="0.25">
      <c r="A601" t="s">
        <v>462</v>
      </c>
      <c r="B601" t="s">
        <v>213</v>
      </c>
      <c r="C601" s="34">
        <v>44392</v>
      </c>
      <c r="D601" s="14">
        <v>1282.633</v>
      </c>
    </row>
    <row r="602" spans="1:4" x14ac:dyDescent="0.25">
      <c r="A602" t="s">
        <v>524</v>
      </c>
      <c r="B602" t="s">
        <v>525</v>
      </c>
      <c r="C602" s="34">
        <v>44392</v>
      </c>
      <c r="D602" s="14">
        <v>1900</v>
      </c>
    </row>
    <row r="603" spans="1:4" x14ac:dyDescent="0.25">
      <c r="A603" t="s">
        <v>153</v>
      </c>
      <c r="B603" t="s">
        <v>154</v>
      </c>
      <c r="C603" s="34">
        <v>44392</v>
      </c>
      <c r="D603" s="14">
        <v>870</v>
      </c>
    </row>
    <row r="604" spans="1:4" x14ac:dyDescent="0.25">
      <c r="A604" t="s">
        <v>444</v>
      </c>
      <c r="B604" t="s">
        <v>443</v>
      </c>
      <c r="C604" s="34">
        <v>44392</v>
      </c>
      <c r="D604" s="14">
        <v>537.58799999999997</v>
      </c>
    </row>
    <row r="605" spans="1:4" x14ac:dyDescent="0.25">
      <c r="A605" t="s">
        <v>168</v>
      </c>
      <c r="B605" t="s">
        <v>169</v>
      </c>
      <c r="C605" s="34">
        <v>44392</v>
      </c>
      <c r="D605" s="14">
        <v>984.48</v>
      </c>
    </row>
    <row r="606" spans="1:4" x14ac:dyDescent="0.25">
      <c r="A606" t="s">
        <v>385</v>
      </c>
      <c r="B606" t="s">
        <v>384</v>
      </c>
      <c r="C606" s="34">
        <v>44392</v>
      </c>
      <c r="D606" s="14">
        <v>917.88800000000003</v>
      </c>
    </row>
    <row r="607" spans="1:4" x14ac:dyDescent="0.25">
      <c r="A607" t="s">
        <v>676</v>
      </c>
      <c r="B607" t="s">
        <v>675</v>
      </c>
      <c r="C607" s="34">
        <v>44392</v>
      </c>
      <c r="D607" s="14">
        <v>661.92499999999995</v>
      </c>
    </row>
    <row r="608" spans="1:4" x14ac:dyDescent="0.25">
      <c r="A608" t="s">
        <v>497</v>
      </c>
      <c r="B608" t="s">
        <v>496</v>
      </c>
      <c r="C608" s="34">
        <v>44392</v>
      </c>
      <c r="D608" s="14">
        <v>786.11900000000003</v>
      </c>
    </row>
    <row r="609" spans="1:4" x14ac:dyDescent="0.25">
      <c r="A609" t="s">
        <v>330</v>
      </c>
      <c r="B609" t="s">
        <v>345</v>
      </c>
      <c r="C609" s="34">
        <v>44392</v>
      </c>
      <c r="D609" s="14">
        <v>2386.7429999999999</v>
      </c>
    </row>
    <row r="610" spans="1:4" x14ac:dyDescent="0.25">
      <c r="A610" t="s">
        <v>330</v>
      </c>
      <c r="B610" t="s">
        <v>345</v>
      </c>
      <c r="C610" s="34">
        <v>44392</v>
      </c>
      <c r="D610" s="14">
        <v>2500</v>
      </c>
    </row>
    <row r="611" spans="1:4" x14ac:dyDescent="0.25">
      <c r="A611" t="s">
        <v>820</v>
      </c>
      <c r="B611" t="s">
        <v>221</v>
      </c>
      <c r="C611" s="34">
        <v>44392</v>
      </c>
      <c r="D611" s="14">
        <v>1897.7070000000001</v>
      </c>
    </row>
    <row r="612" spans="1:4" x14ac:dyDescent="0.25">
      <c r="A612" t="s">
        <v>1355</v>
      </c>
      <c r="B612" t="s">
        <v>1354</v>
      </c>
      <c r="C612" s="34">
        <v>44392</v>
      </c>
      <c r="D612" s="14">
        <v>4593.2120000000004</v>
      </c>
    </row>
    <row r="613" spans="1:4" x14ac:dyDescent="0.25">
      <c r="A613" t="s">
        <v>1351</v>
      </c>
      <c r="B613" t="s">
        <v>527</v>
      </c>
      <c r="C613" s="34">
        <v>44392</v>
      </c>
      <c r="D613" s="14">
        <v>860.95799999999997</v>
      </c>
    </row>
    <row r="614" spans="1:4" x14ac:dyDescent="0.25">
      <c r="A614" t="s">
        <v>843</v>
      </c>
      <c r="B614" t="s">
        <v>522</v>
      </c>
      <c r="C614" s="34">
        <v>44392</v>
      </c>
      <c r="D614" s="14">
        <v>248.18</v>
      </c>
    </row>
    <row r="615" spans="1:4" x14ac:dyDescent="0.25">
      <c r="A615" t="s">
        <v>192</v>
      </c>
      <c r="B615" t="s">
        <v>193</v>
      </c>
      <c r="C615" s="34">
        <v>44392</v>
      </c>
      <c r="D615" s="14">
        <v>6193.5150000000003</v>
      </c>
    </row>
    <row r="616" spans="1:4" x14ac:dyDescent="0.25">
      <c r="A616" t="s">
        <v>192</v>
      </c>
      <c r="B616" t="s">
        <v>193</v>
      </c>
      <c r="C616" s="34">
        <v>44392</v>
      </c>
      <c r="D616" s="14">
        <v>5190.0169999999998</v>
      </c>
    </row>
    <row r="617" spans="1:4" x14ac:dyDescent="0.25">
      <c r="A617" t="s">
        <v>192</v>
      </c>
      <c r="B617" t="s">
        <v>193</v>
      </c>
      <c r="C617" s="34">
        <v>44392</v>
      </c>
      <c r="D617" s="14">
        <v>5259.1859999999997</v>
      </c>
    </row>
    <row r="618" spans="1:4" x14ac:dyDescent="0.25">
      <c r="A618" t="s">
        <v>261</v>
      </c>
      <c r="B618" t="s">
        <v>262</v>
      </c>
      <c r="C618" s="34">
        <v>44392</v>
      </c>
      <c r="D618" s="14">
        <v>2348</v>
      </c>
    </row>
    <row r="619" spans="1:4" x14ac:dyDescent="0.25">
      <c r="A619" t="s">
        <v>142</v>
      </c>
      <c r="B619" t="s">
        <v>143</v>
      </c>
      <c r="C619" s="34">
        <v>44392</v>
      </c>
      <c r="D619" s="14">
        <v>1047.0809999999999</v>
      </c>
    </row>
    <row r="620" spans="1:4" x14ac:dyDescent="0.25">
      <c r="A620" t="s">
        <v>140</v>
      </c>
      <c r="B620" t="s">
        <v>141</v>
      </c>
      <c r="C620" s="34">
        <v>44392</v>
      </c>
      <c r="D620" s="14">
        <v>1810.6590000000001</v>
      </c>
    </row>
    <row r="621" spans="1:4" x14ac:dyDescent="0.25">
      <c r="A621" t="s">
        <v>198</v>
      </c>
      <c r="B621" t="s">
        <v>199</v>
      </c>
      <c r="C621" s="34">
        <v>44392</v>
      </c>
      <c r="D621" s="14">
        <v>747</v>
      </c>
    </row>
    <row r="622" spans="1:4" x14ac:dyDescent="0.25">
      <c r="A622" t="s">
        <v>161</v>
      </c>
      <c r="B622" t="s">
        <v>162</v>
      </c>
      <c r="C622" s="34">
        <v>44393</v>
      </c>
      <c r="D622" s="14">
        <v>3230</v>
      </c>
    </row>
    <row r="623" spans="1:4" x14ac:dyDescent="0.25">
      <c r="A623" t="s">
        <v>353</v>
      </c>
      <c r="B623" t="s">
        <v>164</v>
      </c>
      <c r="C623" s="34">
        <v>44393</v>
      </c>
      <c r="D623" s="14">
        <v>960</v>
      </c>
    </row>
    <row r="624" spans="1:4" x14ac:dyDescent="0.25">
      <c r="A624" t="s">
        <v>363</v>
      </c>
      <c r="B624" t="s">
        <v>365</v>
      </c>
      <c r="C624" s="34">
        <v>44393</v>
      </c>
      <c r="D624" s="14">
        <v>1830.0730000000001</v>
      </c>
    </row>
    <row r="625" spans="1:4" x14ac:dyDescent="0.25">
      <c r="A625" t="s">
        <v>744</v>
      </c>
      <c r="B625" t="s">
        <v>743</v>
      </c>
      <c r="C625" s="34">
        <v>44393</v>
      </c>
      <c r="D625" s="14">
        <v>4000</v>
      </c>
    </row>
    <row r="626" spans="1:4" x14ac:dyDescent="0.25">
      <c r="A626" t="s">
        <v>126</v>
      </c>
      <c r="B626" t="s">
        <v>127</v>
      </c>
      <c r="C626" s="34">
        <v>44393</v>
      </c>
      <c r="D626" s="14">
        <v>1494.7249999999999</v>
      </c>
    </row>
    <row r="627" spans="1:4" x14ac:dyDescent="0.25">
      <c r="A627" t="s">
        <v>1059</v>
      </c>
      <c r="B627" t="s">
        <v>1058</v>
      </c>
      <c r="C627" s="34">
        <v>44393</v>
      </c>
      <c r="D627" s="14">
        <v>1000</v>
      </c>
    </row>
    <row r="628" spans="1:4" x14ac:dyDescent="0.25">
      <c r="A628" t="s">
        <v>1150</v>
      </c>
      <c r="B628" t="s">
        <v>470</v>
      </c>
      <c r="C628" s="34">
        <v>44393</v>
      </c>
      <c r="D628" s="14">
        <v>800</v>
      </c>
    </row>
    <row r="629" spans="1:4" x14ac:dyDescent="0.25">
      <c r="A629" t="s">
        <v>211</v>
      </c>
      <c r="B629" t="s">
        <v>212</v>
      </c>
      <c r="C629" s="34">
        <v>44394</v>
      </c>
      <c r="D629" s="14">
        <v>1300</v>
      </c>
    </row>
    <row r="630" spans="1:4" x14ac:dyDescent="0.25">
      <c r="A630" t="s">
        <v>172</v>
      </c>
      <c r="B630" t="s">
        <v>173</v>
      </c>
      <c r="C630" s="34">
        <v>44394</v>
      </c>
      <c r="D630" s="14">
        <v>1500</v>
      </c>
    </row>
    <row r="631" spans="1:4" x14ac:dyDescent="0.25">
      <c r="A631" t="s">
        <v>1050</v>
      </c>
      <c r="B631" t="s">
        <v>257</v>
      </c>
      <c r="C631" s="34">
        <v>44394</v>
      </c>
      <c r="D631" s="14">
        <v>1100</v>
      </c>
    </row>
    <row r="632" spans="1:4" x14ac:dyDescent="0.25">
      <c r="A632" t="s">
        <v>1001</v>
      </c>
      <c r="B632" t="s">
        <v>1000</v>
      </c>
      <c r="C632" s="34">
        <v>44394</v>
      </c>
      <c r="D632" s="14">
        <v>1757.3019999999999</v>
      </c>
    </row>
    <row r="633" spans="1:4" x14ac:dyDescent="0.25">
      <c r="A633" t="s">
        <v>868</v>
      </c>
      <c r="B633" t="s">
        <v>867</v>
      </c>
      <c r="C633" s="34">
        <v>44394</v>
      </c>
      <c r="D633" s="14">
        <v>3237.0940000000001</v>
      </c>
    </row>
    <row r="634" spans="1:4" x14ac:dyDescent="0.25">
      <c r="A634" t="s">
        <v>569</v>
      </c>
      <c r="B634" t="s">
        <v>568</v>
      </c>
      <c r="C634" s="34">
        <v>44394</v>
      </c>
      <c r="D634" s="14">
        <v>740</v>
      </c>
    </row>
    <row r="635" spans="1:4" x14ac:dyDescent="0.25">
      <c r="A635" t="s">
        <v>353</v>
      </c>
      <c r="B635" t="s">
        <v>164</v>
      </c>
      <c r="C635" s="34">
        <v>44395</v>
      </c>
      <c r="D635" s="14">
        <v>955</v>
      </c>
    </row>
    <row r="636" spans="1:4" x14ac:dyDescent="0.25">
      <c r="A636" t="s">
        <v>558</v>
      </c>
      <c r="B636" t="s">
        <v>557</v>
      </c>
      <c r="C636" s="34">
        <v>44395</v>
      </c>
      <c r="D636" s="14">
        <v>1140</v>
      </c>
    </row>
    <row r="637" spans="1:4" x14ac:dyDescent="0.25">
      <c r="A637" t="s">
        <v>200</v>
      </c>
      <c r="B637" t="s">
        <v>201</v>
      </c>
      <c r="C637" s="34">
        <v>44395</v>
      </c>
      <c r="D637" s="14">
        <v>2364.511</v>
      </c>
    </row>
    <row r="638" spans="1:4" x14ac:dyDescent="0.25">
      <c r="A638" t="s">
        <v>1149</v>
      </c>
      <c r="B638" t="s">
        <v>1148</v>
      </c>
      <c r="C638" s="34">
        <v>44395</v>
      </c>
      <c r="D638" s="14">
        <v>1202</v>
      </c>
    </row>
    <row r="639" spans="1:4" x14ac:dyDescent="0.25">
      <c r="A639" t="s">
        <v>1149</v>
      </c>
      <c r="B639" t="s">
        <v>1148</v>
      </c>
      <c r="C639" s="34">
        <v>44395</v>
      </c>
      <c r="D639" s="14">
        <v>1000</v>
      </c>
    </row>
    <row r="640" spans="1:4" x14ac:dyDescent="0.25">
      <c r="A640" t="s">
        <v>161</v>
      </c>
      <c r="B640" t="s">
        <v>162</v>
      </c>
      <c r="C640" s="34">
        <v>44396</v>
      </c>
      <c r="D640" s="14">
        <v>3230</v>
      </c>
    </row>
    <row r="641" spans="1:4" x14ac:dyDescent="0.25">
      <c r="A641" t="s">
        <v>1049</v>
      </c>
      <c r="B641" t="s">
        <v>217</v>
      </c>
      <c r="C641" s="34">
        <v>44396</v>
      </c>
      <c r="D641" s="14">
        <v>4000</v>
      </c>
    </row>
    <row r="642" spans="1:4" x14ac:dyDescent="0.25">
      <c r="A642" t="s">
        <v>550</v>
      </c>
      <c r="B642" t="s">
        <v>220</v>
      </c>
      <c r="C642" s="34">
        <v>44396</v>
      </c>
      <c r="D642" s="14">
        <v>1445.075</v>
      </c>
    </row>
    <row r="643" spans="1:4" x14ac:dyDescent="0.25">
      <c r="A643" t="s">
        <v>996</v>
      </c>
      <c r="B643" t="s">
        <v>446</v>
      </c>
      <c r="C643" s="34">
        <v>44396</v>
      </c>
      <c r="D643" s="14">
        <v>543.87900000000002</v>
      </c>
    </row>
    <row r="644" spans="1:4" x14ac:dyDescent="0.25">
      <c r="A644" t="s">
        <v>759</v>
      </c>
      <c r="B644" t="s">
        <v>758</v>
      </c>
      <c r="C644" s="34">
        <v>44397</v>
      </c>
      <c r="D644" s="14">
        <v>4153.0919999999996</v>
      </c>
    </row>
    <row r="645" spans="1:4" x14ac:dyDescent="0.25">
      <c r="A645" t="s">
        <v>509</v>
      </c>
      <c r="B645" t="s">
        <v>508</v>
      </c>
      <c r="C645" s="34">
        <v>44397</v>
      </c>
      <c r="D645" s="14">
        <v>1881.46</v>
      </c>
    </row>
    <row r="646" spans="1:4" x14ac:dyDescent="0.25">
      <c r="A646" t="s">
        <v>524</v>
      </c>
      <c r="B646" t="s">
        <v>525</v>
      </c>
      <c r="C646" s="34">
        <v>44397</v>
      </c>
      <c r="D646" s="14">
        <v>2362.547</v>
      </c>
    </row>
    <row r="647" spans="1:4" x14ac:dyDescent="0.25">
      <c r="A647" t="s">
        <v>881</v>
      </c>
      <c r="B647" t="s">
        <v>880</v>
      </c>
      <c r="C647" s="34">
        <v>44397</v>
      </c>
      <c r="D647" s="14">
        <v>5624.55</v>
      </c>
    </row>
    <row r="648" spans="1:4" x14ac:dyDescent="0.25">
      <c r="A648" t="s">
        <v>353</v>
      </c>
      <c r="B648" t="s">
        <v>164</v>
      </c>
      <c r="C648" s="34">
        <v>44397</v>
      </c>
      <c r="D648" s="14">
        <v>950</v>
      </c>
    </row>
    <row r="649" spans="1:4" x14ac:dyDescent="0.25">
      <c r="A649" t="s">
        <v>952</v>
      </c>
      <c r="B649" t="s">
        <v>134</v>
      </c>
      <c r="C649" s="34">
        <v>44397</v>
      </c>
      <c r="D649" s="14">
        <v>945</v>
      </c>
    </row>
    <row r="650" spans="1:4" x14ac:dyDescent="0.25">
      <c r="A650" t="s">
        <v>974</v>
      </c>
      <c r="B650" t="s">
        <v>135</v>
      </c>
      <c r="C650" s="34">
        <v>44397</v>
      </c>
      <c r="D650" s="14">
        <v>3557.0630000000001</v>
      </c>
    </row>
    <row r="651" spans="1:4" x14ac:dyDescent="0.25">
      <c r="A651" t="s">
        <v>853</v>
      </c>
      <c r="B651" t="s">
        <v>779</v>
      </c>
      <c r="C651" s="34">
        <v>44397</v>
      </c>
      <c r="D651" s="14">
        <v>1375.89</v>
      </c>
    </row>
    <row r="652" spans="1:4" x14ac:dyDescent="0.25">
      <c r="A652" t="s">
        <v>393</v>
      </c>
      <c r="B652" t="s">
        <v>150</v>
      </c>
      <c r="C652" s="34">
        <v>44397</v>
      </c>
      <c r="D652" s="14">
        <v>1870.847</v>
      </c>
    </row>
    <row r="653" spans="1:4" x14ac:dyDescent="0.25">
      <c r="A653" t="s">
        <v>958</v>
      </c>
      <c r="B653" t="s">
        <v>203</v>
      </c>
      <c r="C653" s="34">
        <v>44397</v>
      </c>
      <c r="D653" s="14">
        <v>10689.866</v>
      </c>
    </row>
    <row r="654" spans="1:4" x14ac:dyDescent="0.25">
      <c r="A654" t="s">
        <v>959</v>
      </c>
      <c r="B654" t="s">
        <v>238</v>
      </c>
      <c r="C654" s="34">
        <v>44397</v>
      </c>
      <c r="D654" s="14">
        <v>14412.031999999999</v>
      </c>
    </row>
    <row r="655" spans="1:4" x14ac:dyDescent="0.25">
      <c r="A655" t="s">
        <v>1061</v>
      </c>
      <c r="B655" t="s">
        <v>1060</v>
      </c>
      <c r="C655" s="34">
        <v>44397</v>
      </c>
      <c r="D655" s="14">
        <v>254.69</v>
      </c>
    </row>
    <row r="656" spans="1:4" x14ac:dyDescent="0.25">
      <c r="A656" t="s">
        <v>575</v>
      </c>
      <c r="B656" t="s">
        <v>151</v>
      </c>
      <c r="C656" s="34">
        <v>44397</v>
      </c>
      <c r="D656" s="14">
        <v>1805.296</v>
      </c>
    </row>
    <row r="657" spans="1:4" x14ac:dyDescent="0.25">
      <c r="A657" t="s">
        <v>1235</v>
      </c>
      <c r="B657" t="s">
        <v>1060</v>
      </c>
      <c r="C657" s="34">
        <v>44397</v>
      </c>
      <c r="D657" s="14">
        <v>226</v>
      </c>
    </row>
    <row r="658" spans="1:4" x14ac:dyDescent="0.25">
      <c r="A658" t="s">
        <v>546</v>
      </c>
      <c r="B658" t="s">
        <v>466</v>
      </c>
      <c r="C658" s="34">
        <v>44397</v>
      </c>
      <c r="D658" s="14">
        <v>866.45500000000004</v>
      </c>
    </row>
    <row r="659" spans="1:4" x14ac:dyDescent="0.25">
      <c r="A659" t="s">
        <v>153</v>
      </c>
      <c r="B659" t="s">
        <v>154</v>
      </c>
      <c r="C659" s="34">
        <v>44397</v>
      </c>
      <c r="D659" s="14">
        <v>783</v>
      </c>
    </row>
    <row r="660" spans="1:4" x14ac:dyDescent="0.25">
      <c r="A660" t="s">
        <v>170</v>
      </c>
      <c r="B660" t="s">
        <v>171</v>
      </c>
      <c r="C660" s="34">
        <v>44397</v>
      </c>
      <c r="D660" s="14">
        <v>2500</v>
      </c>
    </row>
    <row r="661" spans="1:4" x14ac:dyDescent="0.25">
      <c r="A661" t="s">
        <v>153</v>
      </c>
      <c r="B661" t="s">
        <v>154</v>
      </c>
      <c r="C661" s="34">
        <v>44397</v>
      </c>
      <c r="D661" s="14">
        <v>870</v>
      </c>
    </row>
    <row r="662" spans="1:4" x14ac:dyDescent="0.25">
      <c r="A662" t="s">
        <v>194</v>
      </c>
      <c r="B662" t="s">
        <v>195</v>
      </c>
      <c r="C662" s="34">
        <v>44397</v>
      </c>
      <c r="D662" s="14">
        <v>1365.0419999999999</v>
      </c>
    </row>
    <row r="663" spans="1:4" x14ac:dyDescent="0.25">
      <c r="A663" t="s">
        <v>793</v>
      </c>
      <c r="B663" t="s">
        <v>792</v>
      </c>
      <c r="C663" s="34">
        <v>44397</v>
      </c>
      <c r="D663" s="14">
        <v>1350</v>
      </c>
    </row>
    <row r="664" spans="1:4" x14ac:dyDescent="0.25">
      <c r="A664" t="s">
        <v>1147</v>
      </c>
      <c r="B664" t="s">
        <v>1146</v>
      </c>
      <c r="C664" s="34">
        <v>44397</v>
      </c>
      <c r="D664" s="14">
        <v>3590.9839999999999</v>
      </c>
    </row>
    <row r="665" spans="1:4" x14ac:dyDescent="0.25">
      <c r="A665" t="s">
        <v>168</v>
      </c>
      <c r="B665" t="s">
        <v>169</v>
      </c>
      <c r="C665" s="34">
        <v>44397</v>
      </c>
      <c r="D665" s="14">
        <v>984.48</v>
      </c>
    </row>
    <row r="666" spans="1:4" x14ac:dyDescent="0.25">
      <c r="A666" t="s">
        <v>385</v>
      </c>
      <c r="B666" t="s">
        <v>384</v>
      </c>
      <c r="C666" s="34">
        <v>44397</v>
      </c>
      <c r="D666" s="14">
        <v>917.88800000000003</v>
      </c>
    </row>
    <row r="667" spans="1:4" x14ac:dyDescent="0.25">
      <c r="A667" t="s">
        <v>676</v>
      </c>
      <c r="B667" t="s">
        <v>675</v>
      </c>
      <c r="C667" s="34">
        <v>44397</v>
      </c>
      <c r="D667" s="14">
        <v>661.92499999999995</v>
      </c>
    </row>
    <row r="668" spans="1:4" x14ac:dyDescent="0.25">
      <c r="A668" t="s">
        <v>493</v>
      </c>
      <c r="B668" t="s">
        <v>492</v>
      </c>
      <c r="C668" s="34">
        <v>44397</v>
      </c>
      <c r="D668" s="14">
        <v>2256.8919999999998</v>
      </c>
    </row>
    <row r="669" spans="1:4" x14ac:dyDescent="0.25">
      <c r="A669" t="s">
        <v>374</v>
      </c>
      <c r="B669" t="s">
        <v>360</v>
      </c>
      <c r="C669" s="34">
        <v>44397</v>
      </c>
      <c r="D669" s="14">
        <v>950</v>
      </c>
    </row>
    <row r="670" spans="1:4" x14ac:dyDescent="0.25">
      <c r="A670" t="s">
        <v>374</v>
      </c>
      <c r="B670" t="s">
        <v>360</v>
      </c>
      <c r="C670" s="34">
        <v>44397</v>
      </c>
      <c r="D670" s="14">
        <v>950</v>
      </c>
    </row>
    <row r="671" spans="1:4" x14ac:dyDescent="0.25">
      <c r="A671" t="s">
        <v>374</v>
      </c>
      <c r="B671" t="s">
        <v>360</v>
      </c>
      <c r="C671" s="34">
        <v>44397</v>
      </c>
      <c r="D671" s="14">
        <v>950</v>
      </c>
    </row>
    <row r="672" spans="1:4" x14ac:dyDescent="0.25">
      <c r="A672" t="s">
        <v>1057</v>
      </c>
      <c r="B672" t="s">
        <v>1056</v>
      </c>
      <c r="C672" s="34">
        <v>44397</v>
      </c>
      <c r="D672" s="14">
        <v>2000</v>
      </c>
    </row>
    <row r="673" spans="1:4" x14ac:dyDescent="0.25">
      <c r="A673" t="s">
        <v>638</v>
      </c>
      <c r="B673" t="s">
        <v>637</v>
      </c>
      <c r="C673" s="34">
        <v>44397</v>
      </c>
      <c r="D673" s="14">
        <v>2584</v>
      </c>
    </row>
    <row r="674" spans="1:4" x14ac:dyDescent="0.25">
      <c r="A674" t="s">
        <v>120</v>
      </c>
      <c r="B674" t="s">
        <v>121</v>
      </c>
      <c r="C674" s="34">
        <v>44397</v>
      </c>
      <c r="D674" s="14">
        <v>1037.53</v>
      </c>
    </row>
    <row r="675" spans="1:4" x14ac:dyDescent="0.25">
      <c r="A675" t="s">
        <v>261</v>
      </c>
      <c r="B675" t="s">
        <v>262</v>
      </c>
      <c r="C675" s="34">
        <v>44397</v>
      </c>
      <c r="D675" s="14">
        <v>2350.6770000000001</v>
      </c>
    </row>
    <row r="676" spans="1:4" x14ac:dyDescent="0.25">
      <c r="A676" t="s">
        <v>222</v>
      </c>
      <c r="B676" t="s">
        <v>223</v>
      </c>
      <c r="C676" s="34">
        <v>44397</v>
      </c>
      <c r="D676" s="14">
        <v>1330.1980000000001</v>
      </c>
    </row>
    <row r="677" spans="1:4" x14ac:dyDescent="0.25">
      <c r="A677" t="s">
        <v>142</v>
      </c>
      <c r="B677" t="s">
        <v>143</v>
      </c>
      <c r="C677" s="34">
        <v>44397</v>
      </c>
      <c r="D677" s="14">
        <v>1050</v>
      </c>
    </row>
    <row r="678" spans="1:4" x14ac:dyDescent="0.25">
      <c r="A678" t="s">
        <v>353</v>
      </c>
      <c r="B678" t="s">
        <v>164</v>
      </c>
      <c r="C678" s="34">
        <v>44398</v>
      </c>
      <c r="D678" s="14">
        <v>945</v>
      </c>
    </row>
    <row r="679" spans="1:4" x14ac:dyDescent="0.25">
      <c r="A679" t="s">
        <v>353</v>
      </c>
      <c r="B679" t="s">
        <v>164</v>
      </c>
      <c r="C679" s="34">
        <v>44399</v>
      </c>
      <c r="D679" s="14">
        <v>940</v>
      </c>
    </row>
    <row r="680" spans="1:4" x14ac:dyDescent="0.25">
      <c r="A680" t="s">
        <v>744</v>
      </c>
      <c r="B680" t="s">
        <v>743</v>
      </c>
      <c r="C680" s="34">
        <v>44399</v>
      </c>
      <c r="D680" s="14">
        <v>4000</v>
      </c>
    </row>
    <row r="681" spans="1:4" x14ac:dyDescent="0.25">
      <c r="A681" t="s">
        <v>1149</v>
      </c>
      <c r="B681" t="s">
        <v>1148</v>
      </c>
      <c r="C681" s="34">
        <v>44399</v>
      </c>
      <c r="D681" s="14">
        <v>1000</v>
      </c>
    </row>
    <row r="682" spans="1:4" x14ac:dyDescent="0.25">
      <c r="A682" t="s">
        <v>211</v>
      </c>
      <c r="B682" t="s">
        <v>212</v>
      </c>
      <c r="C682" s="34">
        <v>44400</v>
      </c>
      <c r="D682" s="14">
        <v>1300</v>
      </c>
    </row>
    <row r="683" spans="1:4" x14ac:dyDescent="0.25">
      <c r="A683" t="s">
        <v>161</v>
      </c>
      <c r="B683" t="s">
        <v>162</v>
      </c>
      <c r="C683" s="34">
        <v>44400</v>
      </c>
      <c r="D683" s="14">
        <v>3230</v>
      </c>
    </row>
    <row r="684" spans="1:4" x14ac:dyDescent="0.25">
      <c r="A684" t="s">
        <v>363</v>
      </c>
      <c r="B684" t="s">
        <v>365</v>
      </c>
      <c r="C684" s="34">
        <v>44400</v>
      </c>
      <c r="D684" s="14">
        <v>1514</v>
      </c>
    </row>
    <row r="685" spans="1:4" x14ac:dyDescent="0.25">
      <c r="A685" t="s">
        <v>1059</v>
      </c>
      <c r="B685" t="s">
        <v>1058</v>
      </c>
      <c r="C685" s="34">
        <v>44400</v>
      </c>
      <c r="D685" s="14">
        <v>1000</v>
      </c>
    </row>
    <row r="686" spans="1:4" x14ac:dyDescent="0.25">
      <c r="A686" t="s">
        <v>756</v>
      </c>
      <c r="B686" t="s">
        <v>164</v>
      </c>
      <c r="C686" s="34">
        <v>44401</v>
      </c>
      <c r="D686" s="14">
        <v>890</v>
      </c>
    </row>
    <row r="687" spans="1:4" x14ac:dyDescent="0.25">
      <c r="A687" t="s">
        <v>301</v>
      </c>
      <c r="B687" t="s">
        <v>227</v>
      </c>
      <c r="C687" s="34">
        <v>44401</v>
      </c>
      <c r="D687" s="14">
        <v>839.21699999999998</v>
      </c>
    </row>
    <row r="688" spans="1:4" x14ac:dyDescent="0.25">
      <c r="A688" t="s">
        <v>569</v>
      </c>
      <c r="B688" t="s">
        <v>568</v>
      </c>
      <c r="C688" s="34">
        <v>44401</v>
      </c>
      <c r="D688" s="14">
        <v>740</v>
      </c>
    </row>
    <row r="689" spans="1:4" x14ac:dyDescent="0.25">
      <c r="A689" t="s">
        <v>166</v>
      </c>
      <c r="B689" t="s">
        <v>167</v>
      </c>
      <c r="C689" s="34">
        <v>44402</v>
      </c>
      <c r="D689" s="14">
        <v>4000</v>
      </c>
    </row>
    <row r="690" spans="1:4" x14ac:dyDescent="0.25">
      <c r="A690" t="s">
        <v>952</v>
      </c>
      <c r="B690" t="s">
        <v>134</v>
      </c>
      <c r="C690" s="34">
        <v>44402</v>
      </c>
      <c r="D690" s="14">
        <v>1600</v>
      </c>
    </row>
    <row r="691" spans="1:4" x14ac:dyDescent="0.25">
      <c r="A691" t="s">
        <v>544</v>
      </c>
      <c r="B691" t="s">
        <v>304</v>
      </c>
      <c r="C691" s="34">
        <v>44402</v>
      </c>
      <c r="D691" s="14">
        <v>12698.767</v>
      </c>
    </row>
    <row r="692" spans="1:4" x14ac:dyDescent="0.25">
      <c r="A692" t="s">
        <v>152</v>
      </c>
      <c r="B692" t="s">
        <v>134</v>
      </c>
      <c r="C692" s="34">
        <v>44402</v>
      </c>
      <c r="D692" s="14">
        <v>2875</v>
      </c>
    </row>
    <row r="693" spans="1:4" x14ac:dyDescent="0.25">
      <c r="A693" t="s">
        <v>822</v>
      </c>
      <c r="B693" t="s">
        <v>821</v>
      </c>
      <c r="C693" s="34">
        <v>44402</v>
      </c>
      <c r="D693" s="14">
        <v>1741.502</v>
      </c>
    </row>
    <row r="694" spans="1:4" x14ac:dyDescent="0.25">
      <c r="A694" t="s">
        <v>1334</v>
      </c>
      <c r="B694" t="s">
        <v>1333</v>
      </c>
      <c r="C694" s="34">
        <v>44402</v>
      </c>
      <c r="D694" s="14">
        <v>1186.578</v>
      </c>
    </row>
    <row r="695" spans="1:4" x14ac:dyDescent="0.25">
      <c r="A695" t="s">
        <v>153</v>
      </c>
      <c r="B695" t="s">
        <v>154</v>
      </c>
      <c r="C695" s="34">
        <v>44402</v>
      </c>
      <c r="D695" s="14">
        <v>783</v>
      </c>
    </row>
    <row r="696" spans="1:4" x14ac:dyDescent="0.25">
      <c r="A696" t="s">
        <v>155</v>
      </c>
      <c r="B696" t="s">
        <v>156</v>
      </c>
      <c r="C696" s="34">
        <v>44402</v>
      </c>
      <c r="D696" s="14">
        <v>2108.0390000000002</v>
      </c>
    </row>
    <row r="697" spans="1:4" x14ac:dyDescent="0.25">
      <c r="A697" t="s">
        <v>153</v>
      </c>
      <c r="B697" t="s">
        <v>154</v>
      </c>
      <c r="C697" s="34">
        <v>44402</v>
      </c>
      <c r="D697" s="14">
        <v>870</v>
      </c>
    </row>
    <row r="698" spans="1:4" x14ac:dyDescent="0.25">
      <c r="A698" t="s">
        <v>1274</v>
      </c>
      <c r="B698" t="s">
        <v>1273</v>
      </c>
      <c r="C698" s="34">
        <v>44402</v>
      </c>
      <c r="D698" s="14">
        <v>2520.462</v>
      </c>
    </row>
    <row r="699" spans="1:4" x14ac:dyDescent="0.25">
      <c r="A699" t="s">
        <v>1353</v>
      </c>
      <c r="B699" t="s">
        <v>1352</v>
      </c>
      <c r="C699" s="34">
        <v>44402</v>
      </c>
      <c r="D699" s="14">
        <v>459.01799999999997</v>
      </c>
    </row>
    <row r="700" spans="1:4" x14ac:dyDescent="0.25">
      <c r="A700" t="s">
        <v>168</v>
      </c>
      <c r="B700" t="s">
        <v>169</v>
      </c>
      <c r="C700" s="34">
        <v>44402</v>
      </c>
      <c r="D700" s="14">
        <v>984.48</v>
      </c>
    </row>
    <row r="701" spans="1:4" x14ac:dyDescent="0.25">
      <c r="A701" t="s">
        <v>385</v>
      </c>
      <c r="B701" t="s">
        <v>384</v>
      </c>
      <c r="C701" s="34">
        <v>44402</v>
      </c>
      <c r="D701" s="14">
        <v>939.29300000000001</v>
      </c>
    </row>
    <row r="702" spans="1:4" x14ac:dyDescent="0.25">
      <c r="A702" t="s">
        <v>887</v>
      </c>
      <c r="B702" t="s">
        <v>886</v>
      </c>
      <c r="C702" s="34">
        <v>44402</v>
      </c>
      <c r="D702" s="14">
        <v>1875</v>
      </c>
    </row>
    <row r="703" spans="1:4" x14ac:dyDescent="0.25">
      <c r="A703" t="s">
        <v>374</v>
      </c>
      <c r="B703" t="s">
        <v>360</v>
      </c>
      <c r="C703" s="34">
        <v>44402</v>
      </c>
      <c r="D703" s="14">
        <v>950</v>
      </c>
    </row>
    <row r="704" spans="1:4" x14ac:dyDescent="0.25">
      <c r="A704" t="s">
        <v>374</v>
      </c>
      <c r="B704" t="s">
        <v>360</v>
      </c>
      <c r="C704" s="34">
        <v>44402</v>
      </c>
      <c r="D704" s="14">
        <v>994.83500000000004</v>
      </c>
    </row>
    <row r="705" spans="1:4" x14ac:dyDescent="0.25">
      <c r="A705" t="s">
        <v>374</v>
      </c>
      <c r="B705" t="s">
        <v>360</v>
      </c>
      <c r="C705" s="34">
        <v>44402</v>
      </c>
      <c r="D705" s="14">
        <v>950</v>
      </c>
    </row>
    <row r="706" spans="1:4" x14ac:dyDescent="0.25">
      <c r="A706" t="s">
        <v>374</v>
      </c>
      <c r="B706" t="s">
        <v>360</v>
      </c>
      <c r="C706" s="34">
        <v>44402</v>
      </c>
      <c r="D706" s="14">
        <v>950</v>
      </c>
    </row>
    <row r="707" spans="1:4" x14ac:dyDescent="0.25">
      <c r="A707" t="s">
        <v>374</v>
      </c>
      <c r="B707" t="s">
        <v>360</v>
      </c>
      <c r="C707" s="34">
        <v>44402</v>
      </c>
      <c r="D707" s="14">
        <v>950</v>
      </c>
    </row>
    <row r="708" spans="1:4" x14ac:dyDescent="0.25">
      <c r="A708" t="s">
        <v>374</v>
      </c>
      <c r="B708" t="s">
        <v>360</v>
      </c>
      <c r="C708" s="34">
        <v>44402</v>
      </c>
      <c r="D708" s="14">
        <v>950</v>
      </c>
    </row>
    <row r="709" spans="1:4" x14ac:dyDescent="0.25">
      <c r="A709" t="s">
        <v>1351</v>
      </c>
      <c r="B709" t="s">
        <v>527</v>
      </c>
      <c r="C709" s="34">
        <v>44402</v>
      </c>
      <c r="D709" s="14">
        <v>860.95799999999997</v>
      </c>
    </row>
    <row r="710" spans="1:4" x14ac:dyDescent="0.25">
      <c r="A710" t="s">
        <v>261</v>
      </c>
      <c r="B710" t="s">
        <v>262</v>
      </c>
      <c r="C710" s="34">
        <v>44402</v>
      </c>
      <c r="D710" s="14">
        <v>2000</v>
      </c>
    </row>
    <row r="711" spans="1:4" x14ac:dyDescent="0.25">
      <c r="A711" t="s">
        <v>142</v>
      </c>
      <c r="B711" t="s">
        <v>143</v>
      </c>
      <c r="C711" s="34">
        <v>44402</v>
      </c>
      <c r="D711" s="14">
        <v>1055</v>
      </c>
    </row>
    <row r="712" spans="1:4" x14ac:dyDescent="0.25">
      <c r="A712" t="s">
        <v>161</v>
      </c>
      <c r="B712" t="s">
        <v>162</v>
      </c>
      <c r="C712" s="34">
        <v>44403</v>
      </c>
      <c r="D712" s="14">
        <v>3230</v>
      </c>
    </row>
    <row r="713" spans="1:4" x14ac:dyDescent="0.25">
      <c r="A713" t="s">
        <v>756</v>
      </c>
      <c r="B713" t="s">
        <v>164</v>
      </c>
      <c r="C713" s="34">
        <v>44403</v>
      </c>
      <c r="D713" s="14">
        <v>880</v>
      </c>
    </row>
    <row r="714" spans="1:4" x14ac:dyDescent="0.25">
      <c r="A714" t="s">
        <v>558</v>
      </c>
      <c r="B714" t="s">
        <v>557</v>
      </c>
      <c r="C714" s="34">
        <v>44403</v>
      </c>
      <c r="D714" s="14">
        <v>1178.6179999999999</v>
      </c>
    </row>
    <row r="715" spans="1:4" x14ac:dyDescent="0.25">
      <c r="A715" t="s">
        <v>744</v>
      </c>
      <c r="B715" t="s">
        <v>743</v>
      </c>
      <c r="C715" s="34">
        <v>44403</v>
      </c>
      <c r="D715" s="14">
        <v>3681.7550000000001</v>
      </c>
    </row>
    <row r="716" spans="1:4" x14ac:dyDescent="0.25">
      <c r="A716" t="s">
        <v>216</v>
      </c>
      <c r="B716" t="s">
        <v>217</v>
      </c>
      <c r="C716" s="34">
        <v>44404</v>
      </c>
      <c r="D716" s="14">
        <v>4000</v>
      </c>
    </row>
    <row r="717" spans="1:4" x14ac:dyDescent="0.25">
      <c r="A717" t="s">
        <v>1050</v>
      </c>
      <c r="B717" t="s">
        <v>257</v>
      </c>
      <c r="C717" s="34">
        <v>44404</v>
      </c>
      <c r="D717" s="14">
        <v>1100</v>
      </c>
    </row>
    <row r="718" spans="1:4" x14ac:dyDescent="0.25">
      <c r="A718" t="s">
        <v>148</v>
      </c>
      <c r="B718" t="s">
        <v>149</v>
      </c>
      <c r="C718" s="34">
        <v>44404</v>
      </c>
      <c r="D718" s="14">
        <v>2544.2310000000002</v>
      </c>
    </row>
    <row r="719" spans="1:4" x14ac:dyDescent="0.25">
      <c r="A719" t="s">
        <v>174</v>
      </c>
      <c r="B719" t="s">
        <v>175</v>
      </c>
      <c r="C719" s="34">
        <v>44404</v>
      </c>
      <c r="D719" s="14">
        <v>12757.594999999999</v>
      </c>
    </row>
    <row r="720" spans="1:4" x14ac:dyDescent="0.25">
      <c r="A720" t="s">
        <v>1350</v>
      </c>
      <c r="B720" t="s">
        <v>1349</v>
      </c>
      <c r="C720" s="34">
        <v>44404</v>
      </c>
      <c r="D720" s="14">
        <v>161.696</v>
      </c>
    </row>
    <row r="721" spans="1:4" x14ac:dyDescent="0.25">
      <c r="A721" t="s">
        <v>632</v>
      </c>
      <c r="B721" t="s">
        <v>631</v>
      </c>
      <c r="C721" s="34">
        <v>44404</v>
      </c>
      <c r="D721" s="14">
        <v>2000</v>
      </c>
    </row>
    <row r="722" spans="1:4" x14ac:dyDescent="0.25">
      <c r="A722" t="s">
        <v>756</v>
      </c>
      <c r="B722" t="s">
        <v>164</v>
      </c>
      <c r="C722" s="34">
        <v>44405</v>
      </c>
      <c r="D722" s="14">
        <v>885</v>
      </c>
    </row>
    <row r="723" spans="1:4" x14ac:dyDescent="0.25">
      <c r="A723" t="s">
        <v>426</v>
      </c>
      <c r="B723" t="s">
        <v>180</v>
      </c>
      <c r="C723" s="34">
        <v>44405</v>
      </c>
      <c r="D723" s="14">
        <v>1139.075</v>
      </c>
    </row>
    <row r="724" spans="1:4" x14ac:dyDescent="0.25">
      <c r="A724" t="s">
        <v>900</v>
      </c>
      <c r="B724" t="s">
        <v>241</v>
      </c>
      <c r="C724" s="34">
        <v>44405</v>
      </c>
      <c r="D724" s="14">
        <v>1385.2149999999999</v>
      </c>
    </row>
    <row r="725" spans="1:4" x14ac:dyDescent="0.25">
      <c r="A725" t="s">
        <v>512</v>
      </c>
      <c r="B725" t="s">
        <v>511</v>
      </c>
      <c r="C725" s="34">
        <v>44405</v>
      </c>
      <c r="D725" s="14">
        <v>900</v>
      </c>
    </row>
    <row r="726" spans="1:4" x14ac:dyDescent="0.25">
      <c r="A726" t="s">
        <v>477</v>
      </c>
      <c r="B726" t="s">
        <v>476</v>
      </c>
      <c r="C726" s="34">
        <v>44406</v>
      </c>
      <c r="D726" s="14">
        <v>1565.212</v>
      </c>
    </row>
    <row r="727" spans="1:4" x14ac:dyDescent="0.25">
      <c r="A727" t="s">
        <v>1149</v>
      </c>
      <c r="B727" t="s">
        <v>1148</v>
      </c>
      <c r="C727" s="34">
        <v>44406</v>
      </c>
      <c r="D727" s="14">
        <v>1102.269</v>
      </c>
    </row>
    <row r="728" spans="1:4" x14ac:dyDescent="0.25">
      <c r="A728" t="s">
        <v>172</v>
      </c>
      <c r="B728" t="s">
        <v>173</v>
      </c>
      <c r="C728" s="34">
        <v>44407</v>
      </c>
      <c r="D728" s="14">
        <v>1500</v>
      </c>
    </row>
    <row r="729" spans="1:4" x14ac:dyDescent="0.25">
      <c r="A729" t="s">
        <v>161</v>
      </c>
      <c r="B729" t="s">
        <v>162</v>
      </c>
      <c r="C729" s="34">
        <v>44407</v>
      </c>
      <c r="D729" s="14">
        <v>3230</v>
      </c>
    </row>
    <row r="730" spans="1:4" x14ac:dyDescent="0.25">
      <c r="A730" t="s">
        <v>952</v>
      </c>
      <c r="B730" t="s">
        <v>134</v>
      </c>
      <c r="C730" s="34">
        <v>44407</v>
      </c>
      <c r="D730" s="14">
        <v>1500</v>
      </c>
    </row>
    <row r="731" spans="1:4" x14ac:dyDescent="0.25">
      <c r="A731" t="s">
        <v>431</v>
      </c>
      <c r="B731" t="s">
        <v>337</v>
      </c>
      <c r="C731" s="34">
        <v>44407</v>
      </c>
      <c r="D731" s="14">
        <v>6200</v>
      </c>
    </row>
    <row r="732" spans="1:4" x14ac:dyDescent="0.25">
      <c r="A732" t="s">
        <v>386</v>
      </c>
      <c r="B732" t="s">
        <v>132</v>
      </c>
      <c r="C732" s="34">
        <v>44407</v>
      </c>
      <c r="D732" s="14">
        <v>3900</v>
      </c>
    </row>
    <row r="733" spans="1:4" x14ac:dyDescent="0.25">
      <c r="A733" t="s">
        <v>448</v>
      </c>
      <c r="B733" t="s">
        <v>447</v>
      </c>
      <c r="C733" s="34">
        <v>44407</v>
      </c>
      <c r="D733" s="14">
        <v>600</v>
      </c>
    </row>
    <row r="734" spans="1:4" x14ac:dyDescent="0.25">
      <c r="A734" t="s">
        <v>426</v>
      </c>
      <c r="B734" t="s">
        <v>180</v>
      </c>
      <c r="C734" s="34">
        <v>44407</v>
      </c>
      <c r="D734" s="14">
        <v>1000</v>
      </c>
    </row>
    <row r="735" spans="1:4" x14ac:dyDescent="0.25">
      <c r="A735" t="s">
        <v>1055</v>
      </c>
      <c r="B735" t="s">
        <v>732</v>
      </c>
      <c r="C735" s="34">
        <v>44407</v>
      </c>
      <c r="D735" s="14">
        <v>470.97699999999998</v>
      </c>
    </row>
    <row r="736" spans="1:4" x14ac:dyDescent="0.25">
      <c r="A736" t="s">
        <v>458</v>
      </c>
      <c r="B736" t="s">
        <v>405</v>
      </c>
      <c r="C736" s="34">
        <v>44407</v>
      </c>
      <c r="D736" s="14">
        <v>3611.2530000000002</v>
      </c>
    </row>
    <row r="737" spans="1:4" x14ac:dyDescent="0.25">
      <c r="A737" t="s">
        <v>853</v>
      </c>
      <c r="B737" t="s">
        <v>779</v>
      </c>
      <c r="C737" s="34">
        <v>44407</v>
      </c>
      <c r="D737" s="14">
        <v>1533.7449999999999</v>
      </c>
    </row>
    <row r="738" spans="1:4" x14ac:dyDescent="0.25">
      <c r="A738" t="s">
        <v>480</v>
      </c>
      <c r="B738" t="s">
        <v>479</v>
      </c>
      <c r="C738" s="34">
        <v>44407</v>
      </c>
      <c r="D738" s="14">
        <v>695.29200000000003</v>
      </c>
    </row>
    <row r="739" spans="1:4" x14ac:dyDescent="0.25">
      <c r="A739" t="s">
        <v>863</v>
      </c>
      <c r="B739" t="s">
        <v>371</v>
      </c>
      <c r="C739" s="34">
        <v>44407</v>
      </c>
      <c r="D739" s="14">
        <v>422.31200000000001</v>
      </c>
    </row>
    <row r="740" spans="1:4" x14ac:dyDescent="0.25">
      <c r="A740" t="s">
        <v>783</v>
      </c>
      <c r="B740" t="s">
        <v>782</v>
      </c>
      <c r="C740" s="34">
        <v>44407</v>
      </c>
      <c r="D740" s="14">
        <v>16243.178</v>
      </c>
    </row>
    <row r="741" spans="1:4" x14ac:dyDescent="0.25">
      <c r="A741" t="s">
        <v>1143</v>
      </c>
      <c r="B741" t="s">
        <v>1142</v>
      </c>
      <c r="C741" s="34">
        <v>44407</v>
      </c>
      <c r="D741" s="14">
        <v>11691.882</v>
      </c>
    </row>
    <row r="742" spans="1:4" x14ac:dyDescent="0.25">
      <c r="A742" t="s">
        <v>974</v>
      </c>
      <c r="B742" t="s">
        <v>135</v>
      </c>
      <c r="C742" s="34">
        <v>44407</v>
      </c>
      <c r="D742" s="14">
        <v>3145.6529999999998</v>
      </c>
    </row>
    <row r="743" spans="1:4" x14ac:dyDescent="0.25">
      <c r="A743" t="s">
        <v>1141</v>
      </c>
      <c r="B743" t="s">
        <v>530</v>
      </c>
      <c r="C743" s="34">
        <v>44407</v>
      </c>
      <c r="D743" s="14">
        <v>2434.567</v>
      </c>
    </row>
    <row r="744" spans="1:4" x14ac:dyDescent="0.25">
      <c r="A744" t="s">
        <v>933</v>
      </c>
      <c r="B744" t="s">
        <v>842</v>
      </c>
      <c r="C744" s="34">
        <v>44407</v>
      </c>
      <c r="D744" s="14">
        <v>781.78099999999995</v>
      </c>
    </row>
    <row r="745" spans="1:4" x14ac:dyDescent="0.25">
      <c r="A745" t="s">
        <v>391</v>
      </c>
      <c r="B745" t="s">
        <v>181</v>
      </c>
      <c r="C745" s="34">
        <v>44407</v>
      </c>
      <c r="D745" s="14">
        <v>1859.6</v>
      </c>
    </row>
    <row r="746" spans="1:4" x14ac:dyDescent="0.25">
      <c r="A746" t="s">
        <v>1013</v>
      </c>
      <c r="B746" t="s">
        <v>237</v>
      </c>
      <c r="C746" s="34">
        <v>44407</v>
      </c>
      <c r="D746" s="14">
        <v>565.28499999999997</v>
      </c>
    </row>
    <row r="747" spans="1:4" x14ac:dyDescent="0.25">
      <c r="A747" t="s">
        <v>529</v>
      </c>
      <c r="B747" t="s">
        <v>303</v>
      </c>
      <c r="C747" s="34">
        <v>44407</v>
      </c>
      <c r="D747" s="14">
        <v>1552.634</v>
      </c>
    </row>
    <row r="748" spans="1:4" x14ac:dyDescent="0.25">
      <c r="A748" t="s">
        <v>883</v>
      </c>
      <c r="B748" t="s">
        <v>206</v>
      </c>
      <c r="C748" s="34">
        <v>44407</v>
      </c>
      <c r="D748" s="14">
        <v>2078.88</v>
      </c>
    </row>
    <row r="749" spans="1:4" x14ac:dyDescent="0.25">
      <c r="A749" t="s">
        <v>1140</v>
      </c>
      <c r="B749" t="s">
        <v>1139</v>
      </c>
      <c r="C749" s="34">
        <v>44407</v>
      </c>
      <c r="D749" s="14">
        <v>307.97699999999998</v>
      </c>
    </row>
    <row r="750" spans="1:4" x14ac:dyDescent="0.25">
      <c r="A750" t="s">
        <v>884</v>
      </c>
      <c r="B750" t="s">
        <v>207</v>
      </c>
      <c r="C750" s="34">
        <v>44407</v>
      </c>
      <c r="D750" s="14">
        <v>3518.6370000000002</v>
      </c>
    </row>
    <row r="751" spans="1:4" x14ac:dyDescent="0.25">
      <c r="A751" t="s">
        <v>445</v>
      </c>
      <c r="B751" t="s">
        <v>186</v>
      </c>
      <c r="C751" s="34">
        <v>44407</v>
      </c>
      <c r="D751" s="14">
        <v>1530.614</v>
      </c>
    </row>
    <row r="752" spans="1:4" x14ac:dyDescent="0.25">
      <c r="A752" t="s">
        <v>1229</v>
      </c>
      <c r="B752" t="s">
        <v>1228</v>
      </c>
      <c r="C752" s="34">
        <v>44407</v>
      </c>
      <c r="D752" s="14">
        <v>690.32399999999996</v>
      </c>
    </row>
    <row r="753" spans="1:4" x14ac:dyDescent="0.25">
      <c r="A753" t="s">
        <v>1239</v>
      </c>
      <c r="B753" t="s">
        <v>1238</v>
      </c>
      <c r="C753" s="34">
        <v>44407</v>
      </c>
      <c r="D753" s="14">
        <v>1294.537</v>
      </c>
    </row>
    <row r="754" spans="1:4" x14ac:dyDescent="0.25">
      <c r="A754" t="s">
        <v>963</v>
      </c>
      <c r="B754" t="s">
        <v>962</v>
      </c>
      <c r="C754" s="34">
        <v>44407</v>
      </c>
      <c r="D754" s="14">
        <v>402.87400000000002</v>
      </c>
    </row>
    <row r="755" spans="1:4" x14ac:dyDescent="0.25">
      <c r="A755" t="s">
        <v>847</v>
      </c>
      <c r="B755" t="s">
        <v>629</v>
      </c>
      <c r="C755" s="34">
        <v>44407</v>
      </c>
      <c r="D755" s="14">
        <v>771.971</v>
      </c>
    </row>
    <row r="756" spans="1:4" x14ac:dyDescent="0.25">
      <c r="A756" t="s">
        <v>395</v>
      </c>
      <c r="B756" t="s">
        <v>177</v>
      </c>
      <c r="C756" s="34">
        <v>44407</v>
      </c>
      <c r="D756" s="14">
        <v>1425.4639999999999</v>
      </c>
    </row>
    <row r="757" spans="1:4" x14ac:dyDescent="0.25">
      <c r="A757" t="s">
        <v>1007</v>
      </c>
      <c r="B757" t="s">
        <v>1006</v>
      </c>
      <c r="C757" s="34">
        <v>44407</v>
      </c>
      <c r="D757" s="14">
        <v>1013.4930000000001</v>
      </c>
    </row>
    <row r="758" spans="1:4" x14ac:dyDescent="0.25">
      <c r="A758" t="s">
        <v>902</v>
      </c>
      <c r="B758" t="s">
        <v>176</v>
      </c>
      <c r="C758" s="34">
        <v>44407</v>
      </c>
      <c r="D758" s="14">
        <v>995.64200000000005</v>
      </c>
    </row>
    <row r="759" spans="1:4" x14ac:dyDescent="0.25">
      <c r="A759" t="s">
        <v>1270</v>
      </c>
      <c r="B759" t="s">
        <v>1070</v>
      </c>
      <c r="C759" s="34">
        <v>44407</v>
      </c>
      <c r="D759" s="14">
        <v>614.81899999999996</v>
      </c>
    </row>
    <row r="760" spans="1:4" x14ac:dyDescent="0.25">
      <c r="A760" t="s">
        <v>1103</v>
      </c>
      <c r="B760" t="s">
        <v>1102</v>
      </c>
      <c r="C760" s="34">
        <v>44407</v>
      </c>
      <c r="D760" s="14">
        <v>1707.655</v>
      </c>
    </row>
    <row r="761" spans="1:4" x14ac:dyDescent="0.25">
      <c r="A761" t="s">
        <v>1348</v>
      </c>
      <c r="B761" t="s">
        <v>1347</v>
      </c>
      <c r="C761" s="34">
        <v>44407</v>
      </c>
      <c r="D761" s="14">
        <v>491.23700000000002</v>
      </c>
    </row>
    <row r="762" spans="1:4" x14ac:dyDescent="0.25">
      <c r="A762" t="s">
        <v>1334</v>
      </c>
      <c r="B762" t="s">
        <v>1333</v>
      </c>
      <c r="C762" s="34">
        <v>44407</v>
      </c>
      <c r="D762" s="14">
        <v>1186.578</v>
      </c>
    </row>
    <row r="763" spans="1:4" x14ac:dyDescent="0.25">
      <c r="A763" t="s">
        <v>190</v>
      </c>
      <c r="B763" t="s">
        <v>191</v>
      </c>
      <c r="C763" s="34">
        <v>44407</v>
      </c>
      <c r="D763" s="14">
        <v>797.03700000000003</v>
      </c>
    </row>
    <row r="764" spans="1:4" x14ac:dyDescent="0.25">
      <c r="A764" t="s">
        <v>966</v>
      </c>
      <c r="B764" t="s">
        <v>965</v>
      </c>
      <c r="C764" s="34">
        <v>44407</v>
      </c>
      <c r="D764" s="14">
        <v>700</v>
      </c>
    </row>
    <row r="765" spans="1:4" x14ac:dyDescent="0.25">
      <c r="A765" t="s">
        <v>1240</v>
      </c>
      <c r="B765" t="s">
        <v>508</v>
      </c>
      <c r="C765" s="34">
        <v>44407</v>
      </c>
      <c r="D765" s="14">
        <v>3113.6350000000002</v>
      </c>
    </row>
    <row r="766" spans="1:4" x14ac:dyDescent="0.25">
      <c r="A766" t="s">
        <v>439</v>
      </c>
      <c r="B766" t="s">
        <v>438</v>
      </c>
      <c r="C766" s="34">
        <v>44407</v>
      </c>
      <c r="D766" s="14">
        <v>1318.4459999999999</v>
      </c>
    </row>
    <row r="767" spans="1:4" x14ac:dyDescent="0.25">
      <c r="A767" t="s">
        <v>363</v>
      </c>
      <c r="B767" t="s">
        <v>365</v>
      </c>
      <c r="C767" s="34">
        <v>44407</v>
      </c>
      <c r="D767" s="14">
        <v>1514</v>
      </c>
    </row>
    <row r="768" spans="1:4" x14ac:dyDescent="0.25">
      <c r="A768" t="s">
        <v>159</v>
      </c>
      <c r="B768" t="s">
        <v>160</v>
      </c>
      <c r="C768" s="34">
        <v>44407</v>
      </c>
      <c r="D768" s="14">
        <v>2009.5519999999999</v>
      </c>
    </row>
    <row r="769" spans="1:4" x14ac:dyDescent="0.25">
      <c r="A769" t="s">
        <v>194</v>
      </c>
      <c r="B769" t="s">
        <v>195</v>
      </c>
      <c r="C769" s="34">
        <v>44407</v>
      </c>
      <c r="D769" s="14">
        <v>606.548</v>
      </c>
    </row>
    <row r="770" spans="1:4" x14ac:dyDescent="0.25">
      <c r="A770" t="s">
        <v>1272</v>
      </c>
      <c r="B770" t="s">
        <v>1271</v>
      </c>
      <c r="C770" s="34">
        <v>44407</v>
      </c>
      <c r="D770" s="14">
        <v>2208.8420000000001</v>
      </c>
    </row>
    <row r="771" spans="1:4" x14ac:dyDescent="0.25">
      <c r="A771" t="s">
        <v>1346</v>
      </c>
      <c r="B771" t="s">
        <v>1345</v>
      </c>
      <c r="C771" s="34">
        <v>44407</v>
      </c>
      <c r="D771" s="14">
        <v>2329.3620000000001</v>
      </c>
    </row>
    <row r="772" spans="1:4" x14ac:dyDescent="0.25">
      <c r="A772" t="s">
        <v>1344</v>
      </c>
      <c r="B772" t="s">
        <v>1343</v>
      </c>
      <c r="C772" s="34">
        <v>44407</v>
      </c>
      <c r="D772" s="14">
        <v>2538</v>
      </c>
    </row>
    <row r="773" spans="1:4" x14ac:dyDescent="0.25">
      <c r="A773" t="s">
        <v>519</v>
      </c>
      <c r="B773" t="s">
        <v>518</v>
      </c>
      <c r="C773" s="34">
        <v>44407</v>
      </c>
      <c r="D773" s="14">
        <v>444.387</v>
      </c>
    </row>
    <row r="774" spans="1:4" x14ac:dyDescent="0.25">
      <c r="A774" t="s">
        <v>1059</v>
      </c>
      <c r="B774" t="s">
        <v>1058</v>
      </c>
      <c r="C774" s="34">
        <v>44407</v>
      </c>
      <c r="D774" s="14">
        <v>1000</v>
      </c>
    </row>
    <row r="775" spans="1:4" x14ac:dyDescent="0.25">
      <c r="A775" t="s">
        <v>846</v>
      </c>
      <c r="B775" t="s">
        <v>300</v>
      </c>
      <c r="C775" s="34">
        <v>44407</v>
      </c>
      <c r="D775" s="14">
        <v>7407.0969999999998</v>
      </c>
    </row>
    <row r="776" spans="1:4" x14ac:dyDescent="0.25">
      <c r="A776" t="s">
        <v>1057</v>
      </c>
      <c r="B776" t="s">
        <v>1056</v>
      </c>
      <c r="C776" s="34">
        <v>44407</v>
      </c>
      <c r="D776" s="14">
        <v>2000</v>
      </c>
    </row>
    <row r="777" spans="1:4" x14ac:dyDescent="0.25">
      <c r="A777" t="s">
        <v>234</v>
      </c>
      <c r="B777" t="s">
        <v>235</v>
      </c>
      <c r="C777" s="34">
        <v>44407</v>
      </c>
      <c r="D777" s="14">
        <v>5000</v>
      </c>
    </row>
    <row r="778" spans="1:4" x14ac:dyDescent="0.25">
      <c r="A778" t="s">
        <v>638</v>
      </c>
      <c r="B778" t="s">
        <v>637</v>
      </c>
      <c r="C778" s="34">
        <v>44407</v>
      </c>
      <c r="D778" s="14">
        <v>1844</v>
      </c>
    </row>
    <row r="779" spans="1:4" x14ac:dyDescent="0.25">
      <c r="A779" t="s">
        <v>638</v>
      </c>
      <c r="B779" t="s">
        <v>637</v>
      </c>
      <c r="C779" s="34">
        <v>44407</v>
      </c>
      <c r="D779" s="14">
        <v>3000</v>
      </c>
    </row>
    <row r="780" spans="1:4" x14ac:dyDescent="0.25">
      <c r="A780" t="s">
        <v>638</v>
      </c>
      <c r="B780" t="s">
        <v>637</v>
      </c>
      <c r="C780" s="34">
        <v>44407</v>
      </c>
      <c r="D780" s="14">
        <v>2160</v>
      </c>
    </row>
    <row r="781" spans="1:4" x14ac:dyDescent="0.25">
      <c r="A781" t="s">
        <v>861</v>
      </c>
      <c r="B781" t="s">
        <v>860</v>
      </c>
      <c r="C781" s="34">
        <v>44407</v>
      </c>
      <c r="D781" s="14">
        <v>2405.7440000000001</v>
      </c>
    </row>
    <row r="782" spans="1:4" x14ac:dyDescent="0.25">
      <c r="A782" t="s">
        <v>713</v>
      </c>
      <c r="B782" t="s">
        <v>819</v>
      </c>
      <c r="C782" s="34">
        <v>44407</v>
      </c>
      <c r="D782" s="14">
        <v>2776.9349999999999</v>
      </c>
    </row>
    <row r="783" spans="1:4" x14ac:dyDescent="0.25">
      <c r="A783" t="s">
        <v>484</v>
      </c>
      <c r="B783" t="s">
        <v>483</v>
      </c>
      <c r="C783" s="34">
        <v>44407</v>
      </c>
      <c r="D783" s="14">
        <v>6441.56</v>
      </c>
    </row>
    <row r="784" spans="1:4" x14ac:dyDescent="0.25">
      <c r="A784" t="s">
        <v>1342</v>
      </c>
      <c r="B784" t="s">
        <v>1341</v>
      </c>
      <c r="C784" s="34">
        <v>44407</v>
      </c>
      <c r="D784" s="14">
        <v>3777.3180000000002</v>
      </c>
    </row>
    <row r="785" spans="1:4" x14ac:dyDescent="0.25">
      <c r="A785" t="s">
        <v>261</v>
      </c>
      <c r="B785" t="s">
        <v>262</v>
      </c>
      <c r="C785" s="34">
        <v>44407</v>
      </c>
      <c r="D785" s="14">
        <v>2000</v>
      </c>
    </row>
    <row r="786" spans="1:4" x14ac:dyDescent="0.25">
      <c r="A786" t="s">
        <v>157</v>
      </c>
      <c r="B786" t="s">
        <v>158</v>
      </c>
      <c r="C786" s="34">
        <v>44407</v>
      </c>
      <c r="D786" s="14">
        <v>703.46199999999999</v>
      </c>
    </row>
    <row r="787" spans="1:4" x14ac:dyDescent="0.25">
      <c r="A787" t="s">
        <v>196</v>
      </c>
      <c r="B787" t="s">
        <v>197</v>
      </c>
      <c r="C787" s="34">
        <v>44407</v>
      </c>
      <c r="D787" s="14">
        <v>2140.1190000000001</v>
      </c>
    </row>
    <row r="788" spans="1:4" x14ac:dyDescent="0.25">
      <c r="A788" t="s">
        <v>140</v>
      </c>
      <c r="B788" t="s">
        <v>141</v>
      </c>
      <c r="C788" s="34">
        <v>44407</v>
      </c>
      <c r="D788" s="14">
        <v>1810</v>
      </c>
    </row>
    <row r="789" spans="1:4" x14ac:dyDescent="0.25">
      <c r="A789" t="s">
        <v>355</v>
      </c>
      <c r="B789" t="s">
        <v>354</v>
      </c>
      <c r="C789" s="34">
        <v>44407</v>
      </c>
      <c r="D789" s="14">
        <v>2150.5680000000002</v>
      </c>
    </row>
    <row r="790" spans="1:4" x14ac:dyDescent="0.25">
      <c r="A790" t="s">
        <v>142</v>
      </c>
      <c r="B790" t="s">
        <v>143</v>
      </c>
      <c r="C790" s="34">
        <v>44407</v>
      </c>
      <c r="D790" s="14">
        <v>1045</v>
      </c>
    </row>
    <row r="791" spans="1:4" x14ac:dyDescent="0.25">
      <c r="A791" t="s">
        <v>1145</v>
      </c>
      <c r="B791" t="s">
        <v>1144</v>
      </c>
      <c r="C791" s="34">
        <v>44407</v>
      </c>
      <c r="D791" s="14">
        <v>582.17100000000005</v>
      </c>
    </row>
    <row r="792" spans="1:4" x14ac:dyDescent="0.25">
      <c r="A792" t="s">
        <v>378</v>
      </c>
      <c r="B792" t="s">
        <v>361</v>
      </c>
      <c r="C792" s="34">
        <v>44407</v>
      </c>
      <c r="D792" s="14">
        <v>1629.623</v>
      </c>
    </row>
    <row r="793" spans="1:4" x14ac:dyDescent="0.25">
      <c r="A793" t="s">
        <v>679</v>
      </c>
      <c r="B793" t="s">
        <v>678</v>
      </c>
      <c r="C793" s="34">
        <v>44407</v>
      </c>
      <c r="D793" s="14">
        <v>1923.89</v>
      </c>
    </row>
    <row r="794" spans="1:4" x14ac:dyDescent="0.25">
      <c r="A794" t="s">
        <v>482</v>
      </c>
      <c r="B794" t="s">
        <v>481</v>
      </c>
      <c r="C794" s="34">
        <v>44407</v>
      </c>
      <c r="D794" s="14">
        <v>5131.9269999999997</v>
      </c>
    </row>
    <row r="795" spans="1:4" x14ac:dyDescent="0.25">
      <c r="A795" t="s">
        <v>414</v>
      </c>
      <c r="B795" t="s">
        <v>415</v>
      </c>
      <c r="C795" s="34">
        <v>44407</v>
      </c>
      <c r="D795" s="14">
        <v>2096.2220000000002</v>
      </c>
    </row>
    <row r="796" spans="1:4" x14ac:dyDescent="0.25">
      <c r="A796" t="s">
        <v>314</v>
      </c>
      <c r="B796" t="s">
        <v>313</v>
      </c>
      <c r="C796" s="34">
        <v>44407</v>
      </c>
      <c r="D796" s="14">
        <v>3000</v>
      </c>
    </row>
    <row r="797" spans="1:4" x14ac:dyDescent="0.25">
      <c r="A797" t="s">
        <v>166</v>
      </c>
      <c r="B797" t="s">
        <v>167</v>
      </c>
      <c r="C797" s="34">
        <v>44408</v>
      </c>
      <c r="D797" s="14">
        <v>3938.4870000000001</v>
      </c>
    </row>
    <row r="798" spans="1:4" x14ac:dyDescent="0.25">
      <c r="A798" t="s">
        <v>211</v>
      </c>
      <c r="B798" t="s">
        <v>212</v>
      </c>
      <c r="C798" s="34">
        <v>44408</v>
      </c>
      <c r="D798" s="14">
        <v>1347.9949999999999</v>
      </c>
    </row>
    <row r="799" spans="1:4" x14ac:dyDescent="0.25">
      <c r="A799" t="s">
        <v>362</v>
      </c>
      <c r="B799" t="s">
        <v>343</v>
      </c>
      <c r="C799" s="34">
        <v>44408</v>
      </c>
      <c r="D799" s="14">
        <v>1699.5319999999999</v>
      </c>
    </row>
    <row r="800" spans="1:4" x14ac:dyDescent="0.25">
      <c r="A800" t="s">
        <v>431</v>
      </c>
      <c r="B800" t="s">
        <v>337</v>
      </c>
      <c r="C800" s="34">
        <v>44408</v>
      </c>
      <c r="D800" s="14">
        <v>5700</v>
      </c>
    </row>
    <row r="801" spans="1:4" x14ac:dyDescent="0.25">
      <c r="A801" t="s">
        <v>885</v>
      </c>
      <c r="B801" t="s">
        <v>205</v>
      </c>
      <c r="C801" s="34">
        <v>44408</v>
      </c>
      <c r="D801" s="14">
        <v>3600.1120000000001</v>
      </c>
    </row>
    <row r="802" spans="1:4" x14ac:dyDescent="0.25">
      <c r="A802" t="s">
        <v>626</v>
      </c>
      <c r="B802" t="s">
        <v>202</v>
      </c>
      <c r="C802" s="34">
        <v>44408</v>
      </c>
      <c r="D802" s="14">
        <v>6915.357</v>
      </c>
    </row>
    <row r="803" spans="1:4" x14ac:dyDescent="0.25">
      <c r="A803" t="s">
        <v>393</v>
      </c>
      <c r="B803" t="s">
        <v>150</v>
      </c>
      <c r="C803" s="34">
        <v>44408</v>
      </c>
      <c r="D803" s="14">
        <v>1870.847</v>
      </c>
    </row>
    <row r="804" spans="1:4" x14ac:dyDescent="0.25">
      <c r="A804" t="s">
        <v>488</v>
      </c>
      <c r="B804" t="s">
        <v>236</v>
      </c>
      <c r="C804" s="34">
        <v>44408</v>
      </c>
      <c r="D804" s="14">
        <v>554.29999999999995</v>
      </c>
    </row>
    <row r="805" spans="1:4" x14ac:dyDescent="0.25">
      <c r="A805" t="s">
        <v>1053</v>
      </c>
      <c r="B805" t="s">
        <v>1052</v>
      </c>
      <c r="C805" s="34">
        <v>44408</v>
      </c>
      <c r="D805" s="14">
        <v>268.505</v>
      </c>
    </row>
    <row r="806" spans="1:4" x14ac:dyDescent="0.25">
      <c r="A806" t="s">
        <v>1051</v>
      </c>
      <c r="B806" t="s">
        <v>595</v>
      </c>
      <c r="C806" s="34">
        <v>44408</v>
      </c>
      <c r="D806" s="14">
        <v>6877.8819999999996</v>
      </c>
    </row>
    <row r="807" spans="1:4" x14ac:dyDescent="0.25">
      <c r="A807" t="s">
        <v>551</v>
      </c>
      <c r="B807" t="s">
        <v>204</v>
      </c>
      <c r="C807" s="34">
        <v>44408</v>
      </c>
      <c r="D807" s="14">
        <v>274.74599999999998</v>
      </c>
    </row>
    <row r="808" spans="1:4" x14ac:dyDescent="0.25">
      <c r="A808" t="s">
        <v>956</v>
      </c>
      <c r="B808" t="s">
        <v>574</v>
      </c>
      <c r="C808" s="34">
        <v>44408</v>
      </c>
      <c r="D808" s="14">
        <v>1662.1210000000001</v>
      </c>
    </row>
    <row r="809" spans="1:4" x14ac:dyDescent="0.25">
      <c r="A809" t="s">
        <v>510</v>
      </c>
      <c r="B809" t="s">
        <v>131</v>
      </c>
      <c r="C809" s="34">
        <v>44408</v>
      </c>
      <c r="D809" s="14">
        <v>582.24300000000005</v>
      </c>
    </row>
    <row r="810" spans="1:4" x14ac:dyDescent="0.25">
      <c r="A810" t="s">
        <v>899</v>
      </c>
      <c r="B810" t="s">
        <v>259</v>
      </c>
      <c r="C810" s="34">
        <v>44408</v>
      </c>
      <c r="D810" s="14">
        <v>3782.7190000000001</v>
      </c>
    </row>
    <row r="811" spans="1:4" x14ac:dyDescent="0.25">
      <c r="A811" t="s">
        <v>1136</v>
      </c>
      <c r="B811" t="s">
        <v>1135</v>
      </c>
      <c r="C811" s="34">
        <v>44408</v>
      </c>
      <c r="D811" s="14">
        <v>290</v>
      </c>
    </row>
    <row r="812" spans="1:4" x14ac:dyDescent="0.25">
      <c r="A812" t="s">
        <v>832</v>
      </c>
      <c r="B812" t="s">
        <v>630</v>
      </c>
      <c r="C812" s="34">
        <v>44408</v>
      </c>
      <c r="D812" s="14">
        <v>1144.4349999999999</v>
      </c>
    </row>
    <row r="813" spans="1:4" x14ac:dyDescent="0.25">
      <c r="A813" t="s">
        <v>302</v>
      </c>
      <c r="B813" t="s">
        <v>165</v>
      </c>
      <c r="C813" s="34">
        <v>44408</v>
      </c>
      <c r="D813" s="14">
        <v>1186.07</v>
      </c>
    </row>
    <row r="814" spans="1:4" x14ac:dyDescent="0.25">
      <c r="A814" t="s">
        <v>620</v>
      </c>
      <c r="B814" t="s">
        <v>239</v>
      </c>
      <c r="C814" s="34">
        <v>44408</v>
      </c>
      <c r="D814" s="14">
        <v>1514.924</v>
      </c>
    </row>
    <row r="815" spans="1:4" x14ac:dyDescent="0.25">
      <c r="A815" t="s">
        <v>1235</v>
      </c>
      <c r="B815" t="s">
        <v>1060</v>
      </c>
      <c r="C815" s="34">
        <v>44408</v>
      </c>
      <c r="D815" s="14">
        <v>226.13399999999999</v>
      </c>
    </row>
    <row r="816" spans="1:4" x14ac:dyDescent="0.25">
      <c r="A816" t="s">
        <v>1069</v>
      </c>
      <c r="B816" t="s">
        <v>129</v>
      </c>
      <c r="C816" s="34">
        <v>44408</v>
      </c>
      <c r="D816" s="14">
        <v>1355.31</v>
      </c>
    </row>
    <row r="817" spans="1:4" x14ac:dyDescent="0.25">
      <c r="A817" t="s">
        <v>735</v>
      </c>
      <c r="B817" t="s">
        <v>231</v>
      </c>
      <c r="C817" s="34">
        <v>44408</v>
      </c>
      <c r="D817" s="14">
        <v>165.08799999999999</v>
      </c>
    </row>
    <row r="818" spans="1:4" x14ac:dyDescent="0.25">
      <c r="A818" t="s">
        <v>964</v>
      </c>
      <c r="B818" t="s">
        <v>904</v>
      </c>
      <c r="C818" s="34">
        <v>44408</v>
      </c>
      <c r="D818" s="14">
        <v>870.52</v>
      </c>
    </row>
    <row r="819" spans="1:4" x14ac:dyDescent="0.25">
      <c r="A819" t="s">
        <v>1234</v>
      </c>
      <c r="B819" t="s">
        <v>1233</v>
      </c>
      <c r="C819" s="34">
        <v>44408</v>
      </c>
      <c r="D819" s="14">
        <v>617.85900000000004</v>
      </c>
    </row>
    <row r="820" spans="1:4" x14ac:dyDescent="0.25">
      <c r="A820" t="s">
        <v>862</v>
      </c>
      <c r="B820" t="s">
        <v>552</v>
      </c>
      <c r="C820" s="34">
        <v>44408</v>
      </c>
      <c r="D820" s="14">
        <v>3433.03</v>
      </c>
    </row>
    <row r="821" spans="1:4" x14ac:dyDescent="0.25">
      <c r="A821" t="s">
        <v>546</v>
      </c>
      <c r="B821" t="s">
        <v>466</v>
      </c>
      <c r="C821" s="34">
        <v>44408</v>
      </c>
      <c r="D821" s="14">
        <v>866.45500000000004</v>
      </c>
    </row>
    <row r="822" spans="1:4" x14ac:dyDescent="0.25">
      <c r="A822" t="s">
        <v>153</v>
      </c>
      <c r="B822" t="s">
        <v>154</v>
      </c>
      <c r="C822" s="34">
        <v>44408</v>
      </c>
      <c r="D822" s="14">
        <v>783</v>
      </c>
    </row>
    <row r="823" spans="1:4" x14ac:dyDescent="0.25">
      <c r="A823" t="s">
        <v>881</v>
      </c>
      <c r="B823" t="s">
        <v>880</v>
      </c>
      <c r="C823" s="34">
        <v>44408</v>
      </c>
      <c r="D823" s="14">
        <v>1034.731</v>
      </c>
    </row>
    <row r="824" spans="1:4" x14ac:dyDescent="0.25">
      <c r="A824" t="s">
        <v>759</v>
      </c>
      <c r="B824" t="s">
        <v>758</v>
      </c>
      <c r="C824" s="34">
        <v>44408</v>
      </c>
      <c r="D824" s="14">
        <v>1955.268</v>
      </c>
    </row>
    <row r="825" spans="1:4" x14ac:dyDescent="0.25">
      <c r="A825" t="s">
        <v>469</v>
      </c>
      <c r="B825" t="s">
        <v>214</v>
      </c>
      <c r="C825" s="34">
        <v>44408</v>
      </c>
      <c r="D825" s="14">
        <v>1144.973</v>
      </c>
    </row>
    <row r="826" spans="1:4" x14ac:dyDescent="0.25">
      <c r="A826" t="s">
        <v>146</v>
      </c>
      <c r="B826" t="s">
        <v>147</v>
      </c>
      <c r="C826" s="34">
        <v>44408</v>
      </c>
      <c r="D826" s="14">
        <v>1585.375</v>
      </c>
    </row>
    <row r="827" spans="1:4" x14ac:dyDescent="0.25">
      <c r="A827" t="s">
        <v>306</v>
      </c>
      <c r="B827" t="s">
        <v>305</v>
      </c>
      <c r="C827" s="34">
        <v>44408</v>
      </c>
      <c r="D827" s="14">
        <v>1765.453</v>
      </c>
    </row>
    <row r="828" spans="1:4" x14ac:dyDescent="0.25">
      <c r="A828" t="s">
        <v>524</v>
      </c>
      <c r="B828" t="s">
        <v>525</v>
      </c>
      <c r="C828" s="34">
        <v>44408</v>
      </c>
      <c r="D828" s="14">
        <v>1980.8440000000001</v>
      </c>
    </row>
    <row r="829" spans="1:4" x14ac:dyDescent="0.25">
      <c r="A829" t="s">
        <v>1236</v>
      </c>
      <c r="B829" t="s">
        <v>346</v>
      </c>
      <c r="C829" s="34">
        <v>44408</v>
      </c>
      <c r="D829" s="14">
        <v>7394.558</v>
      </c>
    </row>
    <row r="830" spans="1:4" x14ac:dyDescent="0.25">
      <c r="A830" t="s">
        <v>153</v>
      </c>
      <c r="B830" t="s">
        <v>154</v>
      </c>
      <c r="C830" s="34">
        <v>44408</v>
      </c>
      <c r="D830" s="14">
        <v>842.27200000000005</v>
      </c>
    </row>
    <row r="831" spans="1:4" x14ac:dyDescent="0.25">
      <c r="A831" t="s">
        <v>209</v>
      </c>
      <c r="B831" t="s">
        <v>210</v>
      </c>
      <c r="C831" s="34">
        <v>44408</v>
      </c>
      <c r="D831" s="14">
        <v>1014.538</v>
      </c>
    </row>
    <row r="832" spans="1:4" x14ac:dyDescent="0.25">
      <c r="A832" t="s">
        <v>170</v>
      </c>
      <c r="B832" t="s">
        <v>171</v>
      </c>
      <c r="C832" s="34">
        <v>44408</v>
      </c>
      <c r="D832" s="14">
        <v>3500</v>
      </c>
    </row>
    <row r="833" spans="1:4" x14ac:dyDescent="0.25">
      <c r="A833" t="s">
        <v>462</v>
      </c>
      <c r="B833" t="s">
        <v>213</v>
      </c>
      <c r="C833" s="34">
        <v>44408</v>
      </c>
      <c r="D833" s="14">
        <v>890.89599999999996</v>
      </c>
    </row>
    <row r="834" spans="1:4" x14ac:dyDescent="0.25">
      <c r="A834" t="s">
        <v>671</v>
      </c>
      <c r="B834" t="s">
        <v>670</v>
      </c>
      <c r="C834" s="34">
        <v>44408</v>
      </c>
      <c r="D834" s="14">
        <v>1914.9780000000001</v>
      </c>
    </row>
    <row r="835" spans="1:4" x14ac:dyDescent="0.25">
      <c r="A835" t="s">
        <v>577</v>
      </c>
      <c r="B835" t="s">
        <v>576</v>
      </c>
      <c r="C835" s="34">
        <v>44408</v>
      </c>
      <c r="D835" s="14">
        <v>3630</v>
      </c>
    </row>
    <row r="836" spans="1:4" x14ac:dyDescent="0.25">
      <c r="A836" t="s">
        <v>793</v>
      </c>
      <c r="B836" t="s">
        <v>792</v>
      </c>
      <c r="C836" s="34">
        <v>44408</v>
      </c>
      <c r="D836" s="14">
        <v>1350</v>
      </c>
    </row>
    <row r="837" spans="1:4" x14ac:dyDescent="0.25">
      <c r="A837" t="s">
        <v>1054</v>
      </c>
      <c r="B837" t="s">
        <v>926</v>
      </c>
      <c r="C837" s="34">
        <v>44408</v>
      </c>
      <c r="D837" s="14">
        <v>1425.0940000000001</v>
      </c>
    </row>
    <row r="838" spans="1:4" x14ac:dyDescent="0.25">
      <c r="A838" t="s">
        <v>168</v>
      </c>
      <c r="B838" t="s">
        <v>169</v>
      </c>
      <c r="C838" s="34">
        <v>44408</v>
      </c>
      <c r="D838" s="14">
        <v>984.48199999999997</v>
      </c>
    </row>
    <row r="839" spans="1:4" x14ac:dyDescent="0.25">
      <c r="A839" t="s">
        <v>676</v>
      </c>
      <c r="B839" t="s">
        <v>675</v>
      </c>
      <c r="C839" s="34">
        <v>44408</v>
      </c>
      <c r="D839" s="14">
        <v>661.92499999999995</v>
      </c>
    </row>
    <row r="840" spans="1:4" x14ac:dyDescent="0.25">
      <c r="A840" t="s">
        <v>385</v>
      </c>
      <c r="B840" t="s">
        <v>384</v>
      </c>
      <c r="C840" s="34">
        <v>44408</v>
      </c>
      <c r="D840" s="14">
        <v>939.29300000000001</v>
      </c>
    </row>
    <row r="841" spans="1:4" x14ac:dyDescent="0.25">
      <c r="A841" t="s">
        <v>1015</v>
      </c>
      <c r="B841" t="s">
        <v>1014</v>
      </c>
      <c r="C841" s="34">
        <v>44408</v>
      </c>
      <c r="D841" s="14">
        <v>17447.189999999999</v>
      </c>
    </row>
    <row r="842" spans="1:4" x14ac:dyDescent="0.25">
      <c r="A842" t="s">
        <v>795</v>
      </c>
      <c r="B842" t="s">
        <v>794</v>
      </c>
      <c r="C842" s="34">
        <v>44408</v>
      </c>
      <c r="D842" s="14">
        <v>445.065</v>
      </c>
    </row>
    <row r="843" spans="1:4" x14ac:dyDescent="0.25">
      <c r="A843" t="s">
        <v>1340</v>
      </c>
      <c r="B843" t="s">
        <v>1339</v>
      </c>
      <c r="C843" s="34">
        <v>44408</v>
      </c>
      <c r="D843" s="14">
        <v>2000.125</v>
      </c>
    </row>
    <row r="844" spans="1:4" x14ac:dyDescent="0.25">
      <c r="A844" t="s">
        <v>1157</v>
      </c>
      <c r="B844" t="s">
        <v>1156</v>
      </c>
      <c r="C844" s="34">
        <v>44408</v>
      </c>
      <c r="D844" s="14">
        <v>1864.56</v>
      </c>
    </row>
    <row r="845" spans="1:4" x14ac:dyDescent="0.25">
      <c r="A845" t="s">
        <v>597</v>
      </c>
      <c r="B845" t="s">
        <v>596</v>
      </c>
      <c r="C845" s="34">
        <v>44408</v>
      </c>
      <c r="D845" s="14">
        <v>2137.4079999999999</v>
      </c>
    </row>
    <row r="846" spans="1:4" x14ac:dyDescent="0.25">
      <c r="A846" t="s">
        <v>1054</v>
      </c>
      <c r="B846" t="s">
        <v>926</v>
      </c>
      <c r="C846" s="34">
        <v>44408</v>
      </c>
      <c r="D846" s="14">
        <v>698.89200000000005</v>
      </c>
    </row>
    <row r="847" spans="1:4" x14ac:dyDescent="0.25">
      <c r="A847" t="s">
        <v>248</v>
      </c>
      <c r="B847" t="s">
        <v>230</v>
      </c>
      <c r="C847" s="34">
        <v>44408</v>
      </c>
      <c r="D847" s="14">
        <v>862.755</v>
      </c>
    </row>
    <row r="848" spans="1:4" x14ac:dyDescent="0.25">
      <c r="A848" t="s">
        <v>1237</v>
      </c>
      <c r="B848" t="s">
        <v>547</v>
      </c>
      <c r="C848" s="34">
        <v>44408</v>
      </c>
      <c r="D848" s="14">
        <v>128.34700000000001</v>
      </c>
    </row>
    <row r="849" spans="1:4" x14ac:dyDescent="0.25">
      <c r="A849" t="s">
        <v>569</v>
      </c>
      <c r="B849" t="s">
        <v>568</v>
      </c>
      <c r="C849" s="34">
        <v>44408</v>
      </c>
      <c r="D849" s="14">
        <v>752.20799999999997</v>
      </c>
    </row>
    <row r="850" spans="1:4" x14ac:dyDescent="0.25">
      <c r="A850" t="s">
        <v>1338</v>
      </c>
      <c r="B850" t="s">
        <v>1337</v>
      </c>
      <c r="C850" s="34">
        <v>44408</v>
      </c>
      <c r="D850" s="14">
        <v>427.36399999999998</v>
      </c>
    </row>
    <row r="851" spans="1:4" x14ac:dyDescent="0.25">
      <c r="A851" t="s">
        <v>621</v>
      </c>
      <c r="B851" t="s">
        <v>567</v>
      </c>
      <c r="C851" s="34">
        <v>44408</v>
      </c>
      <c r="D851" s="14">
        <v>2045</v>
      </c>
    </row>
    <row r="852" spans="1:4" x14ac:dyDescent="0.25">
      <c r="A852" t="s">
        <v>1138</v>
      </c>
      <c r="B852" t="s">
        <v>1137</v>
      </c>
      <c r="C852" s="34">
        <v>44408</v>
      </c>
      <c r="D852" s="14">
        <v>802.125</v>
      </c>
    </row>
    <row r="853" spans="1:4" x14ac:dyDescent="0.25">
      <c r="A853" t="s">
        <v>124</v>
      </c>
      <c r="B853" t="s">
        <v>125</v>
      </c>
      <c r="C853" s="34">
        <v>44408</v>
      </c>
      <c r="D853" s="14">
        <v>4040.4769999999999</v>
      </c>
    </row>
    <row r="854" spans="1:4" x14ac:dyDescent="0.25">
      <c r="A854" t="s">
        <v>473</v>
      </c>
      <c r="B854" t="s">
        <v>472</v>
      </c>
      <c r="C854" s="34">
        <v>44408</v>
      </c>
      <c r="D854" s="14">
        <v>2275.9169999999999</v>
      </c>
    </row>
    <row r="855" spans="1:4" ht="15.75" thickBot="1" x14ac:dyDescent="0.3">
      <c r="A855" t="s">
        <v>1336</v>
      </c>
      <c r="B855" t="s">
        <v>1335</v>
      </c>
      <c r="C855" s="34">
        <v>44408</v>
      </c>
      <c r="D855" s="14">
        <v>2908.3649999999998</v>
      </c>
    </row>
    <row r="856" spans="1:4" ht="15.75" thickBot="1" x14ac:dyDescent="0.3">
      <c r="A856" s="695" t="s">
        <v>871</v>
      </c>
      <c r="B856" s="696"/>
      <c r="C856" s="696"/>
      <c r="D856" s="314">
        <f>SUM(D460:D855)</f>
        <v>861943.26999999944</v>
      </c>
    </row>
    <row r="857" spans="1:4" x14ac:dyDescent="0.25">
      <c r="A857" t="s">
        <v>460</v>
      </c>
      <c r="B857" t="s">
        <v>976</v>
      </c>
      <c r="C857" s="34">
        <v>44409</v>
      </c>
      <c r="D857" s="14">
        <v>8846.5939999999991</v>
      </c>
    </row>
    <row r="858" spans="1:4" x14ac:dyDescent="0.25">
      <c r="A858" t="s">
        <v>123</v>
      </c>
      <c r="B858" t="s">
        <v>342</v>
      </c>
      <c r="C858" s="34">
        <v>44409</v>
      </c>
      <c r="D858" s="14">
        <v>7784.277</v>
      </c>
    </row>
    <row r="859" spans="1:4" x14ac:dyDescent="0.25">
      <c r="A859" t="s">
        <v>218</v>
      </c>
      <c r="B859" t="s">
        <v>219</v>
      </c>
      <c r="C859" s="34">
        <v>44410</v>
      </c>
      <c r="D859" s="14">
        <v>728.87699999999995</v>
      </c>
    </row>
    <row r="860" spans="1:4" x14ac:dyDescent="0.25">
      <c r="A860" t="s">
        <v>744</v>
      </c>
      <c r="B860" t="s">
        <v>743</v>
      </c>
      <c r="C860" s="34">
        <v>44410</v>
      </c>
      <c r="D860" s="14">
        <v>1128.213</v>
      </c>
    </row>
    <row r="861" spans="1:4" x14ac:dyDescent="0.25">
      <c r="A861" t="s">
        <v>161</v>
      </c>
      <c r="B861" t="s">
        <v>162</v>
      </c>
      <c r="C861" s="34">
        <v>44411</v>
      </c>
      <c r="D861" s="14">
        <v>3294.9290000000001</v>
      </c>
    </row>
    <row r="862" spans="1:4" x14ac:dyDescent="0.25">
      <c r="A862" t="s">
        <v>392</v>
      </c>
      <c r="B862" t="s">
        <v>341</v>
      </c>
      <c r="C862" s="34">
        <v>44411</v>
      </c>
      <c r="D862" s="14">
        <v>877.9</v>
      </c>
    </row>
    <row r="863" spans="1:4" x14ac:dyDescent="0.25">
      <c r="A863" t="s">
        <v>144</v>
      </c>
      <c r="B863" t="s">
        <v>145</v>
      </c>
      <c r="C863" s="34">
        <v>44411</v>
      </c>
      <c r="D863" s="14">
        <v>685.36699999999996</v>
      </c>
    </row>
    <row r="864" spans="1:4" x14ac:dyDescent="0.25">
      <c r="A864" t="s">
        <v>859</v>
      </c>
      <c r="B864" t="s">
        <v>858</v>
      </c>
      <c r="C864" s="34">
        <v>44411</v>
      </c>
      <c r="D864" s="14">
        <v>864.35599999999999</v>
      </c>
    </row>
    <row r="865" spans="1:4" x14ac:dyDescent="0.25">
      <c r="A865" t="s">
        <v>556</v>
      </c>
      <c r="B865" t="s">
        <v>555</v>
      </c>
      <c r="C865" s="34">
        <v>44412</v>
      </c>
      <c r="D865" s="14">
        <v>395.33100000000002</v>
      </c>
    </row>
    <row r="866" spans="1:4" x14ac:dyDescent="0.25">
      <c r="A866" t="s">
        <v>159</v>
      </c>
      <c r="B866" t="s">
        <v>160</v>
      </c>
      <c r="C866" s="34">
        <v>44412</v>
      </c>
      <c r="D866" s="14">
        <v>1600</v>
      </c>
    </row>
    <row r="867" spans="1:4" x14ac:dyDescent="0.25">
      <c r="A867" t="s">
        <v>126</v>
      </c>
      <c r="B867" t="s">
        <v>127</v>
      </c>
      <c r="C867" s="34">
        <v>44412</v>
      </c>
      <c r="D867" s="14">
        <v>1500</v>
      </c>
    </row>
    <row r="868" spans="1:4" x14ac:dyDescent="0.25">
      <c r="A868" t="s">
        <v>513</v>
      </c>
      <c r="B868" t="s">
        <v>338</v>
      </c>
      <c r="C868" s="34">
        <v>44412</v>
      </c>
      <c r="D868" s="14">
        <v>3210.6410000000001</v>
      </c>
    </row>
    <row r="869" spans="1:4" x14ac:dyDescent="0.25">
      <c r="A869" t="s">
        <v>375</v>
      </c>
      <c r="B869" t="s">
        <v>379</v>
      </c>
      <c r="C869" s="34">
        <v>44412</v>
      </c>
      <c r="D869" s="14">
        <v>2546.35</v>
      </c>
    </row>
    <row r="870" spans="1:4" x14ac:dyDescent="0.25">
      <c r="A870" t="s">
        <v>216</v>
      </c>
      <c r="B870" t="s">
        <v>217</v>
      </c>
      <c r="C870" s="34">
        <v>44413</v>
      </c>
      <c r="D870" s="14">
        <v>4000</v>
      </c>
    </row>
    <row r="871" spans="1:4" x14ac:dyDescent="0.25">
      <c r="A871" t="s">
        <v>340</v>
      </c>
      <c r="B871" t="s">
        <v>188</v>
      </c>
      <c r="C871" s="34">
        <v>44413</v>
      </c>
      <c r="D871" s="14">
        <v>3275.9949999999999</v>
      </c>
    </row>
    <row r="872" spans="1:4" x14ac:dyDescent="0.25">
      <c r="A872" t="s">
        <v>1050</v>
      </c>
      <c r="B872" t="s">
        <v>257</v>
      </c>
      <c r="C872" s="34">
        <v>44413</v>
      </c>
      <c r="D872" s="14">
        <v>1157.114</v>
      </c>
    </row>
    <row r="873" spans="1:4" x14ac:dyDescent="0.25">
      <c r="A873" t="s">
        <v>550</v>
      </c>
      <c r="B873" t="s">
        <v>220</v>
      </c>
      <c r="C873" s="34">
        <v>44413</v>
      </c>
      <c r="D873" s="14">
        <v>2000</v>
      </c>
    </row>
    <row r="874" spans="1:4" x14ac:dyDescent="0.25">
      <c r="A874" t="s">
        <v>953</v>
      </c>
      <c r="B874" t="s">
        <v>163</v>
      </c>
      <c r="C874" s="34">
        <v>44413</v>
      </c>
      <c r="D874" s="14">
        <v>1716.5329999999999</v>
      </c>
    </row>
    <row r="875" spans="1:4" x14ac:dyDescent="0.25">
      <c r="A875" t="s">
        <v>1230</v>
      </c>
      <c r="B875" t="s">
        <v>796</v>
      </c>
      <c r="C875" s="34">
        <v>44413</v>
      </c>
      <c r="D875" s="14">
        <v>1682.3920000000001</v>
      </c>
    </row>
    <row r="876" spans="1:4" x14ac:dyDescent="0.25">
      <c r="A876" t="s">
        <v>580</v>
      </c>
      <c r="B876" t="s">
        <v>349</v>
      </c>
      <c r="C876" s="34">
        <v>44413</v>
      </c>
      <c r="D876" s="14">
        <v>4134.4059999999999</v>
      </c>
    </row>
    <row r="877" spans="1:4" x14ac:dyDescent="0.25">
      <c r="A877" t="s">
        <v>478</v>
      </c>
      <c r="B877" t="s">
        <v>404</v>
      </c>
      <c r="C877" s="34">
        <v>44413</v>
      </c>
      <c r="D877" s="14">
        <v>1050</v>
      </c>
    </row>
    <row r="878" spans="1:4" x14ac:dyDescent="0.25">
      <c r="A878" t="s">
        <v>1334</v>
      </c>
      <c r="B878" t="s">
        <v>1333</v>
      </c>
      <c r="C878" s="34">
        <v>44413</v>
      </c>
      <c r="D878" s="14">
        <v>1186.578</v>
      </c>
    </row>
    <row r="879" spans="1:4" x14ac:dyDescent="0.25">
      <c r="A879" t="s">
        <v>161</v>
      </c>
      <c r="B879" t="s">
        <v>162</v>
      </c>
      <c r="C879" s="34">
        <v>44413</v>
      </c>
      <c r="D879" s="14">
        <v>4560</v>
      </c>
    </row>
    <row r="880" spans="1:4" x14ac:dyDescent="0.25">
      <c r="A880" t="s">
        <v>1152</v>
      </c>
      <c r="B880" t="s">
        <v>1151</v>
      </c>
      <c r="C880" s="34">
        <v>44413</v>
      </c>
      <c r="D880" s="14">
        <v>1314.222</v>
      </c>
    </row>
    <row r="881" spans="1:4" x14ac:dyDescent="0.25">
      <c r="A881" t="s">
        <v>374</v>
      </c>
      <c r="B881" t="s">
        <v>360</v>
      </c>
      <c r="C881" s="34">
        <v>44413</v>
      </c>
      <c r="D881" s="14">
        <v>950</v>
      </c>
    </row>
    <row r="882" spans="1:4" x14ac:dyDescent="0.25">
      <c r="A882" t="s">
        <v>374</v>
      </c>
      <c r="B882" t="s">
        <v>360</v>
      </c>
      <c r="C882" s="34">
        <v>44413</v>
      </c>
      <c r="D882" s="14">
        <v>950</v>
      </c>
    </row>
    <row r="883" spans="1:4" x14ac:dyDescent="0.25">
      <c r="A883" t="s">
        <v>374</v>
      </c>
      <c r="B883" t="s">
        <v>360</v>
      </c>
      <c r="C883" s="34">
        <v>44413</v>
      </c>
      <c r="D883" s="14">
        <v>950</v>
      </c>
    </row>
    <row r="884" spans="1:4" x14ac:dyDescent="0.25">
      <c r="A884" t="s">
        <v>261</v>
      </c>
      <c r="B884" t="s">
        <v>262</v>
      </c>
      <c r="C884" s="34">
        <v>44413</v>
      </c>
      <c r="D884" s="14">
        <v>2000</v>
      </c>
    </row>
    <row r="885" spans="1:4" x14ac:dyDescent="0.25">
      <c r="A885" t="s">
        <v>142</v>
      </c>
      <c r="B885" t="s">
        <v>143</v>
      </c>
      <c r="C885" s="34">
        <v>44413</v>
      </c>
      <c r="D885" s="14">
        <v>1053</v>
      </c>
    </row>
    <row r="886" spans="1:4" x14ac:dyDescent="0.25">
      <c r="A886" t="s">
        <v>1232</v>
      </c>
      <c r="B886" t="s">
        <v>1231</v>
      </c>
      <c r="C886" s="34">
        <v>44413</v>
      </c>
      <c r="D886" s="14">
        <v>3858.0230000000001</v>
      </c>
    </row>
    <row r="887" spans="1:4" x14ac:dyDescent="0.25">
      <c r="A887" t="s">
        <v>392</v>
      </c>
      <c r="B887" t="s">
        <v>341</v>
      </c>
      <c r="C887" s="34">
        <v>44414</v>
      </c>
      <c r="D887" s="14">
        <v>876.73900000000003</v>
      </c>
    </row>
    <row r="888" spans="1:4" x14ac:dyDescent="0.25">
      <c r="A888" t="s">
        <v>363</v>
      </c>
      <c r="B888" t="s">
        <v>365</v>
      </c>
      <c r="C888" s="34">
        <v>44414</v>
      </c>
      <c r="D888" s="14">
        <v>1514</v>
      </c>
    </row>
    <row r="889" spans="1:4" x14ac:dyDescent="0.25">
      <c r="A889" t="s">
        <v>126</v>
      </c>
      <c r="B889" t="s">
        <v>127</v>
      </c>
      <c r="C889" s="34">
        <v>44414</v>
      </c>
      <c r="D889" s="14">
        <v>1500</v>
      </c>
    </row>
    <row r="890" spans="1:4" x14ac:dyDescent="0.25">
      <c r="A890" t="s">
        <v>394</v>
      </c>
      <c r="B890" t="s">
        <v>357</v>
      </c>
      <c r="C890" s="34">
        <v>44415</v>
      </c>
      <c r="D890" s="14">
        <v>1625.694</v>
      </c>
    </row>
    <row r="891" spans="1:4" x14ac:dyDescent="0.25">
      <c r="A891" t="s">
        <v>512</v>
      </c>
      <c r="B891" t="s">
        <v>511</v>
      </c>
      <c r="C891" s="34">
        <v>44415</v>
      </c>
      <c r="D891" s="14">
        <v>937.19299999999998</v>
      </c>
    </row>
    <row r="892" spans="1:4" x14ac:dyDescent="0.25">
      <c r="A892" t="s">
        <v>385</v>
      </c>
      <c r="B892" t="s">
        <v>384</v>
      </c>
      <c r="C892" s="34">
        <v>44415</v>
      </c>
      <c r="D892" s="14">
        <v>939.29300000000001</v>
      </c>
    </row>
    <row r="893" spans="1:4" x14ac:dyDescent="0.25">
      <c r="A893" t="s">
        <v>573</v>
      </c>
      <c r="B893" t="s">
        <v>572</v>
      </c>
      <c r="C893" s="34">
        <v>44415</v>
      </c>
      <c r="D893" s="14">
        <v>440.25</v>
      </c>
    </row>
    <row r="894" spans="1:4" x14ac:dyDescent="0.25">
      <c r="A894" t="s">
        <v>556</v>
      </c>
      <c r="B894" t="s">
        <v>555</v>
      </c>
      <c r="C894" s="34">
        <v>44416</v>
      </c>
      <c r="D894" s="14">
        <v>394</v>
      </c>
    </row>
    <row r="895" spans="1:4" x14ac:dyDescent="0.25">
      <c r="A895" t="s">
        <v>632</v>
      </c>
      <c r="B895" t="s">
        <v>631</v>
      </c>
      <c r="C895" s="34">
        <v>44416</v>
      </c>
      <c r="D895" s="14">
        <v>2049.5839999999998</v>
      </c>
    </row>
    <row r="896" spans="1:4" x14ac:dyDescent="0.25">
      <c r="A896" t="s">
        <v>392</v>
      </c>
      <c r="B896" t="s">
        <v>341</v>
      </c>
      <c r="C896" s="34">
        <v>44418</v>
      </c>
      <c r="D896" s="14">
        <v>878.8</v>
      </c>
    </row>
    <row r="897" spans="1:4" x14ac:dyDescent="0.25">
      <c r="A897" t="s">
        <v>431</v>
      </c>
      <c r="B897" t="s">
        <v>337</v>
      </c>
      <c r="C897" s="34">
        <v>44418</v>
      </c>
      <c r="D897" s="14">
        <v>6200</v>
      </c>
    </row>
    <row r="898" spans="1:4" x14ac:dyDescent="0.25">
      <c r="A898" t="s">
        <v>335</v>
      </c>
      <c r="B898" t="s">
        <v>208</v>
      </c>
      <c r="C898" s="34">
        <v>44418</v>
      </c>
      <c r="D898" s="14">
        <v>1063.4290000000001</v>
      </c>
    </row>
    <row r="899" spans="1:4" x14ac:dyDescent="0.25">
      <c r="A899" t="s">
        <v>448</v>
      </c>
      <c r="B899" t="s">
        <v>447</v>
      </c>
      <c r="C899" s="34">
        <v>44418</v>
      </c>
      <c r="D899" s="14">
        <v>707.755</v>
      </c>
    </row>
    <row r="900" spans="1:4" x14ac:dyDescent="0.25">
      <c r="A900" t="s">
        <v>426</v>
      </c>
      <c r="B900" t="s">
        <v>180</v>
      </c>
      <c r="C900" s="34">
        <v>44418</v>
      </c>
      <c r="D900" s="14">
        <v>1000</v>
      </c>
    </row>
    <row r="901" spans="1:4" x14ac:dyDescent="0.25">
      <c r="A901" t="s">
        <v>393</v>
      </c>
      <c r="B901" t="s">
        <v>150</v>
      </c>
      <c r="C901" s="34">
        <v>44418</v>
      </c>
      <c r="D901" s="14">
        <v>1870.847</v>
      </c>
    </row>
    <row r="902" spans="1:4" x14ac:dyDescent="0.25">
      <c r="A902" t="s">
        <v>1134</v>
      </c>
      <c r="B902" t="s">
        <v>712</v>
      </c>
      <c r="C902" s="34">
        <v>44418</v>
      </c>
      <c r="D902" s="14">
        <v>1435.614</v>
      </c>
    </row>
    <row r="903" spans="1:4" x14ac:dyDescent="0.25">
      <c r="A903" t="s">
        <v>544</v>
      </c>
      <c r="B903" t="s">
        <v>304</v>
      </c>
      <c r="C903" s="34">
        <v>44418</v>
      </c>
      <c r="D903" s="14">
        <v>9450.1219999999994</v>
      </c>
    </row>
    <row r="904" spans="1:4" x14ac:dyDescent="0.25">
      <c r="A904" t="s">
        <v>598</v>
      </c>
      <c r="B904" t="s">
        <v>545</v>
      </c>
      <c r="C904" s="34">
        <v>44418</v>
      </c>
      <c r="D904" s="14">
        <v>1510.39</v>
      </c>
    </row>
    <row r="905" spans="1:4" x14ac:dyDescent="0.25">
      <c r="A905" t="s">
        <v>931</v>
      </c>
      <c r="B905" t="s">
        <v>736</v>
      </c>
      <c r="C905" s="34">
        <v>44418</v>
      </c>
      <c r="D905" s="14">
        <v>1707.6610000000001</v>
      </c>
    </row>
    <row r="906" spans="1:4" x14ac:dyDescent="0.25">
      <c r="A906" t="s">
        <v>1096</v>
      </c>
      <c r="B906" t="s">
        <v>1095</v>
      </c>
      <c r="C906" s="34">
        <v>44418</v>
      </c>
      <c r="D906" s="14">
        <v>1609.03</v>
      </c>
    </row>
    <row r="907" spans="1:4" x14ac:dyDescent="0.25">
      <c r="A907" t="s">
        <v>556</v>
      </c>
      <c r="B907" t="s">
        <v>555</v>
      </c>
      <c r="C907" s="34">
        <v>44418</v>
      </c>
      <c r="D907" s="14">
        <v>394</v>
      </c>
    </row>
    <row r="908" spans="1:4" x14ac:dyDescent="0.25">
      <c r="A908" t="s">
        <v>737</v>
      </c>
      <c r="B908" t="s">
        <v>643</v>
      </c>
      <c r="C908" s="34">
        <v>44418</v>
      </c>
      <c r="D908" s="14">
        <v>735.44799999999998</v>
      </c>
    </row>
    <row r="909" spans="1:4" x14ac:dyDescent="0.25">
      <c r="A909" t="s">
        <v>461</v>
      </c>
      <c r="B909" t="s">
        <v>260</v>
      </c>
      <c r="C909" s="34">
        <v>44418</v>
      </c>
      <c r="D909" s="14">
        <v>858.66499999999996</v>
      </c>
    </row>
    <row r="910" spans="1:4" x14ac:dyDescent="0.25">
      <c r="A910" t="s">
        <v>478</v>
      </c>
      <c r="B910" t="s">
        <v>404</v>
      </c>
      <c r="C910" s="34">
        <v>44418</v>
      </c>
      <c r="D910" s="14">
        <v>1050</v>
      </c>
    </row>
    <row r="911" spans="1:4" x14ac:dyDescent="0.25">
      <c r="A911" t="s">
        <v>902</v>
      </c>
      <c r="B911" t="s">
        <v>176</v>
      </c>
      <c r="C911" s="34">
        <v>44418</v>
      </c>
      <c r="D911" s="14">
        <v>995.64200000000005</v>
      </c>
    </row>
    <row r="912" spans="1:4" x14ac:dyDescent="0.25">
      <c r="A912" t="s">
        <v>1334</v>
      </c>
      <c r="B912" t="s">
        <v>1333</v>
      </c>
      <c r="C912" s="34">
        <v>44418</v>
      </c>
      <c r="D912" s="14">
        <v>1186.578</v>
      </c>
    </row>
    <row r="913" spans="1:4" x14ac:dyDescent="0.25">
      <c r="A913" t="s">
        <v>437</v>
      </c>
      <c r="B913" t="s">
        <v>436</v>
      </c>
      <c r="C913" s="34">
        <v>44418</v>
      </c>
      <c r="D913" s="14">
        <v>1844.4680000000001</v>
      </c>
    </row>
    <row r="914" spans="1:4" x14ac:dyDescent="0.25">
      <c r="A914" t="s">
        <v>509</v>
      </c>
      <c r="B914" t="s">
        <v>508</v>
      </c>
      <c r="C914" s="34">
        <v>44418</v>
      </c>
      <c r="D914" s="14">
        <v>2000</v>
      </c>
    </row>
    <row r="915" spans="1:4" x14ac:dyDescent="0.25">
      <c r="A915" t="s">
        <v>153</v>
      </c>
      <c r="B915" t="s">
        <v>154</v>
      </c>
      <c r="C915" s="34">
        <v>44418</v>
      </c>
      <c r="D915" s="14">
        <v>1400</v>
      </c>
    </row>
    <row r="916" spans="1:4" x14ac:dyDescent="0.25">
      <c r="A916" t="s">
        <v>170</v>
      </c>
      <c r="B916" t="s">
        <v>171</v>
      </c>
      <c r="C916" s="34">
        <v>44418</v>
      </c>
      <c r="D916" s="14">
        <v>3764.1959999999999</v>
      </c>
    </row>
    <row r="917" spans="1:4" x14ac:dyDescent="0.25">
      <c r="A917" t="s">
        <v>462</v>
      </c>
      <c r="B917" t="s">
        <v>213</v>
      </c>
      <c r="C917" s="34">
        <v>44418</v>
      </c>
      <c r="D917" s="14">
        <v>890.89700000000005</v>
      </c>
    </row>
    <row r="918" spans="1:4" x14ac:dyDescent="0.25">
      <c r="A918" t="s">
        <v>155</v>
      </c>
      <c r="B918" t="s">
        <v>156</v>
      </c>
      <c r="C918" s="34">
        <v>44418</v>
      </c>
      <c r="D918" s="14">
        <v>3000</v>
      </c>
    </row>
    <row r="919" spans="1:4" x14ac:dyDescent="0.25">
      <c r="A919" t="s">
        <v>1025</v>
      </c>
      <c r="B919" t="s">
        <v>1024</v>
      </c>
      <c r="C919" s="34">
        <v>44418</v>
      </c>
      <c r="D919" s="14">
        <v>2615.8589999999999</v>
      </c>
    </row>
    <row r="920" spans="1:4" x14ac:dyDescent="0.25">
      <c r="A920" t="s">
        <v>374</v>
      </c>
      <c r="B920" t="s">
        <v>360</v>
      </c>
      <c r="C920" s="34">
        <v>44418</v>
      </c>
      <c r="D920" s="14">
        <v>950</v>
      </c>
    </row>
    <row r="921" spans="1:4" x14ac:dyDescent="0.25">
      <c r="A921" t="s">
        <v>374</v>
      </c>
      <c r="B921" t="s">
        <v>360</v>
      </c>
      <c r="C921" s="34">
        <v>44418</v>
      </c>
      <c r="D921" s="14">
        <v>950</v>
      </c>
    </row>
    <row r="922" spans="1:4" x14ac:dyDescent="0.25">
      <c r="A922" t="s">
        <v>374</v>
      </c>
      <c r="B922" t="s">
        <v>360</v>
      </c>
      <c r="C922" s="34">
        <v>44418</v>
      </c>
      <c r="D922" s="14">
        <v>950</v>
      </c>
    </row>
    <row r="923" spans="1:4" x14ac:dyDescent="0.25">
      <c r="A923" t="s">
        <v>645</v>
      </c>
      <c r="B923" t="s">
        <v>644</v>
      </c>
      <c r="C923" s="34">
        <v>44418</v>
      </c>
      <c r="D923" s="14">
        <v>2379.1729999999998</v>
      </c>
    </row>
    <row r="924" spans="1:4" x14ac:dyDescent="0.25">
      <c r="A924" t="s">
        <v>741</v>
      </c>
      <c r="B924" t="s">
        <v>740</v>
      </c>
      <c r="C924" s="34">
        <v>44418</v>
      </c>
      <c r="D924" s="14">
        <v>2411.9569999999999</v>
      </c>
    </row>
    <row r="925" spans="1:4" x14ac:dyDescent="0.25">
      <c r="A925" t="s">
        <v>638</v>
      </c>
      <c r="B925" t="s">
        <v>637</v>
      </c>
      <c r="C925" s="34">
        <v>44418</v>
      </c>
      <c r="D925" s="14">
        <v>1796.771</v>
      </c>
    </row>
    <row r="926" spans="1:4" x14ac:dyDescent="0.25">
      <c r="A926" t="s">
        <v>261</v>
      </c>
      <c r="B926" t="s">
        <v>262</v>
      </c>
      <c r="C926" s="34">
        <v>44418</v>
      </c>
      <c r="D926" s="14">
        <v>2082.902</v>
      </c>
    </row>
    <row r="927" spans="1:4" x14ac:dyDescent="0.25">
      <c r="A927" t="s">
        <v>142</v>
      </c>
      <c r="B927" t="s">
        <v>143</v>
      </c>
      <c r="C927" s="34">
        <v>44418</v>
      </c>
      <c r="D927" s="14">
        <v>1047</v>
      </c>
    </row>
    <row r="928" spans="1:4" x14ac:dyDescent="0.25">
      <c r="A928" t="s">
        <v>314</v>
      </c>
      <c r="B928" t="s">
        <v>313</v>
      </c>
      <c r="C928" s="34">
        <v>44418</v>
      </c>
      <c r="D928" s="14">
        <v>2760.89</v>
      </c>
    </row>
    <row r="929" spans="1:4" x14ac:dyDescent="0.25">
      <c r="A929" t="s">
        <v>178</v>
      </c>
      <c r="B929" t="s">
        <v>179</v>
      </c>
      <c r="C929" s="34">
        <v>44419</v>
      </c>
      <c r="D929" s="14">
        <v>2600</v>
      </c>
    </row>
    <row r="930" spans="1:4" x14ac:dyDescent="0.25">
      <c r="A930" t="s">
        <v>172</v>
      </c>
      <c r="B930" t="s">
        <v>173</v>
      </c>
      <c r="C930" s="34">
        <v>44419</v>
      </c>
      <c r="D930" s="14">
        <v>738.30899999999997</v>
      </c>
    </row>
    <row r="931" spans="1:4" x14ac:dyDescent="0.25">
      <c r="A931" t="s">
        <v>216</v>
      </c>
      <c r="B931" t="s">
        <v>217</v>
      </c>
      <c r="C931" s="34">
        <v>44420</v>
      </c>
      <c r="D931" s="14">
        <v>4000</v>
      </c>
    </row>
    <row r="932" spans="1:4" x14ac:dyDescent="0.25">
      <c r="A932" t="s">
        <v>161</v>
      </c>
      <c r="B932" t="s">
        <v>162</v>
      </c>
      <c r="C932" s="34">
        <v>44420</v>
      </c>
      <c r="D932" s="14">
        <v>4560</v>
      </c>
    </row>
    <row r="933" spans="1:4" x14ac:dyDescent="0.25">
      <c r="A933" t="s">
        <v>225</v>
      </c>
      <c r="B933" t="s">
        <v>122</v>
      </c>
      <c r="C933" s="34">
        <v>44420</v>
      </c>
      <c r="D933" s="14">
        <v>638.76800000000003</v>
      </c>
    </row>
    <row r="934" spans="1:4" x14ac:dyDescent="0.25">
      <c r="A934" t="s">
        <v>521</v>
      </c>
      <c r="B934" t="s">
        <v>364</v>
      </c>
      <c r="C934" s="34">
        <v>44420</v>
      </c>
      <c r="D934" s="14">
        <v>1989.57</v>
      </c>
    </row>
    <row r="935" spans="1:4" x14ac:dyDescent="0.25">
      <c r="A935" t="s">
        <v>126</v>
      </c>
      <c r="B935" t="s">
        <v>127</v>
      </c>
      <c r="C935" s="34">
        <v>44420</v>
      </c>
      <c r="D935" s="14">
        <v>1500</v>
      </c>
    </row>
    <row r="936" spans="1:4" x14ac:dyDescent="0.25">
      <c r="A936" t="s">
        <v>513</v>
      </c>
      <c r="B936" t="s">
        <v>338</v>
      </c>
      <c r="C936" s="34">
        <v>44420</v>
      </c>
      <c r="D936" s="14">
        <v>3500</v>
      </c>
    </row>
    <row r="937" spans="1:4" x14ac:dyDescent="0.25">
      <c r="A937" t="s">
        <v>1133</v>
      </c>
      <c r="B937" t="s">
        <v>1132</v>
      </c>
      <c r="C937" s="34">
        <v>44420</v>
      </c>
      <c r="D937" s="14">
        <v>726.94600000000003</v>
      </c>
    </row>
    <row r="938" spans="1:4" x14ac:dyDescent="0.25">
      <c r="A938" t="s">
        <v>363</v>
      </c>
      <c r="B938" t="s">
        <v>365</v>
      </c>
      <c r="C938" s="34">
        <v>44421</v>
      </c>
      <c r="D938" s="14">
        <v>1514</v>
      </c>
    </row>
    <row r="939" spans="1:4" x14ac:dyDescent="0.25">
      <c r="A939" t="s">
        <v>996</v>
      </c>
      <c r="B939" t="s">
        <v>446</v>
      </c>
      <c r="C939" s="34">
        <v>44422</v>
      </c>
      <c r="D939" s="14">
        <v>600</v>
      </c>
    </row>
    <row r="940" spans="1:4" x14ac:dyDescent="0.25">
      <c r="A940" t="s">
        <v>386</v>
      </c>
      <c r="B940" t="s">
        <v>132</v>
      </c>
      <c r="C940" s="34">
        <v>44423</v>
      </c>
      <c r="D940" s="14">
        <v>3905.6970000000001</v>
      </c>
    </row>
    <row r="941" spans="1:4" x14ac:dyDescent="0.25">
      <c r="A941" t="s">
        <v>592</v>
      </c>
      <c r="B941" t="s">
        <v>184</v>
      </c>
      <c r="C941" s="34">
        <v>44423</v>
      </c>
      <c r="D941" s="14">
        <v>1205.79</v>
      </c>
    </row>
    <row r="942" spans="1:4" x14ac:dyDescent="0.25">
      <c r="A942" t="s">
        <v>448</v>
      </c>
      <c r="B942" t="s">
        <v>447</v>
      </c>
      <c r="C942" s="34">
        <v>44423</v>
      </c>
      <c r="D942" s="14">
        <v>750</v>
      </c>
    </row>
    <row r="943" spans="1:4" x14ac:dyDescent="0.25">
      <c r="A943" t="s">
        <v>1229</v>
      </c>
      <c r="B943" t="s">
        <v>1228</v>
      </c>
      <c r="C943" s="34">
        <v>44423</v>
      </c>
      <c r="D943" s="14">
        <v>382.685</v>
      </c>
    </row>
    <row r="944" spans="1:4" x14ac:dyDescent="0.25">
      <c r="A944" t="s">
        <v>478</v>
      </c>
      <c r="B944" t="s">
        <v>404</v>
      </c>
      <c r="C944" s="34">
        <v>44423</v>
      </c>
      <c r="D944" s="14">
        <v>1050</v>
      </c>
    </row>
    <row r="945" spans="1:4" x14ac:dyDescent="0.25">
      <c r="A945" t="s">
        <v>1035</v>
      </c>
      <c r="B945" t="s">
        <v>1034</v>
      </c>
      <c r="C945" s="34">
        <v>44423</v>
      </c>
      <c r="D945" s="14">
        <v>1106.7950000000001</v>
      </c>
    </row>
    <row r="946" spans="1:4" x14ac:dyDescent="0.25">
      <c r="A946" t="s">
        <v>958</v>
      </c>
      <c r="B946" t="s">
        <v>203</v>
      </c>
      <c r="C946" s="34">
        <v>44423</v>
      </c>
      <c r="D946" s="14">
        <v>8715</v>
      </c>
    </row>
    <row r="947" spans="1:4" x14ac:dyDescent="0.25">
      <c r="A947" t="s">
        <v>959</v>
      </c>
      <c r="B947" t="s">
        <v>238</v>
      </c>
      <c r="C947" s="34">
        <v>44423</v>
      </c>
      <c r="D947" s="14">
        <v>13808.326999999999</v>
      </c>
    </row>
    <row r="948" spans="1:4" x14ac:dyDescent="0.25">
      <c r="A948" t="s">
        <v>1334</v>
      </c>
      <c r="B948" t="s">
        <v>1333</v>
      </c>
      <c r="C948" s="34">
        <v>44423</v>
      </c>
      <c r="D948" s="14">
        <v>1186.578</v>
      </c>
    </row>
    <row r="949" spans="1:4" x14ac:dyDescent="0.25">
      <c r="A949" t="s">
        <v>153</v>
      </c>
      <c r="B949" t="s">
        <v>154</v>
      </c>
      <c r="C949" s="34">
        <v>44423</v>
      </c>
      <c r="D949" s="14">
        <v>786.11800000000005</v>
      </c>
    </row>
    <row r="950" spans="1:4" x14ac:dyDescent="0.25">
      <c r="A950" t="s">
        <v>136</v>
      </c>
      <c r="B950" t="s">
        <v>137</v>
      </c>
      <c r="C950" s="34">
        <v>44423</v>
      </c>
      <c r="D950" s="14">
        <v>3874.8229999999999</v>
      </c>
    </row>
    <row r="951" spans="1:4" x14ac:dyDescent="0.25">
      <c r="A951" t="s">
        <v>228</v>
      </c>
      <c r="B951" t="s">
        <v>229</v>
      </c>
      <c r="C951" s="34">
        <v>44423</v>
      </c>
      <c r="D951" s="14">
        <v>3000</v>
      </c>
    </row>
    <row r="952" spans="1:4" x14ac:dyDescent="0.25">
      <c r="A952" t="s">
        <v>793</v>
      </c>
      <c r="B952" t="s">
        <v>792</v>
      </c>
      <c r="C952" s="34">
        <v>44423</v>
      </c>
      <c r="D952" s="14">
        <v>1247.722</v>
      </c>
    </row>
    <row r="953" spans="1:4" x14ac:dyDescent="0.25">
      <c r="A953" t="s">
        <v>385</v>
      </c>
      <c r="B953" t="s">
        <v>384</v>
      </c>
      <c r="C953" s="34">
        <v>44423</v>
      </c>
      <c r="D953" s="14">
        <v>939.29300000000001</v>
      </c>
    </row>
    <row r="954" spans="1:4" x14ac:dyDescent="0.25">
      <c r="A954" t="s">
        <v>497</v>
      </c>
      <c r="B954" t="s">
        <v>496</v>
      </c>
      <c r="C954" s="34">
        <v>44423</v>
      </c>
      <c r="D954" s="14">
        <v>2480.87</v>
      </c>
    </row>
    <row r="955" spans="1:4" x14ac:dyDescent="0.25">
      <c r="A955" t="s">
        <v>374</v>
      </c>
      <c r="B955" t="s">
        <v>360</v>
      </c>
      <c r="C955" s="34">
        <v>44423</v>
      </c>
      <c r="D955" s="14">
        <v>830.96100000000001</v>
      </c>
    </row>
    <row r="956" spans="1:4" x14ac:dyDescent="0.25">
      <c r="A956" t="s">
        <v>374</v>
      </c>
      <c r="B956" t="s">
        <v>360</v>
      </c>
      <c r="C956" s="34">
        <v>44423</v>
      </c>
      <c r="D956" s="14">
        <v>950</v>
      </c>
    </row>
    <row r="957" spans="1:4" x14ac:dyDescent="0.25">
      <c r="A957" t="s">
        <v>389</v>
      </c>
      <c r="B957" t="s">
        <v>242</v>
      </c>
      <c r="C957" s="34">
        <v>44423</v>
      </c>
      <c r="D957" s="14">
        <v>3000</v>
      </c>
    </row>
    <row r="958" spans="1:4" x14ac:dyDescent="0.25">
      <c r="A958" t="s">
        <v>234</v>
      </c>
      <c r="B958" t="s">
        <v>235</v>
      </c>
      <c r="C958" s="34">
        <v>44423</v>
      </c>
      <c r="D958" s="14">
        <v>6885.384</v>
      </c>
    </row>
    <row r="959" spans="1:4" x14ac:dyDescent="0.25">
      <c r="A959" t="s">
        <v>1057</v>
      </c>
      <c r="B959" t="s">
        <v>1056</v>
      </c>
      <c r="C959" s="34">
        <v>44423</v>
      </c>
      <c r="D959" s="14">
        <v>1695.0550000000001</v>
      </c>
    </row>
    <row r="960" spans="1:4" x14ac:dyDescent="0.25">
      <c r="A960" t="s">
        <v>157</v>
      </c>
      <c r="B960" t="s">
        <v>158</v>
      </c>
      <c r="C960" s="34">
        <v>44423</v>
      </c>
      <c r="D960" s="14">
        <v>1000</v>
      </c>
    </row>
    <row r="961" spans="1:4" x14ac:dyDescent="0.25">
      <c r="A961" t="s">
        <v>142</v>
      </c>
      <c r="B961" t="s">
        <v>143</v>
      </c>
      <c r="C961" s="34">
        <v>44423</v>
      </c>
      <c r="D961" s="14">
        <v>1051.174</v>
      </c>
    </row>
    <row r="962" spans="1:4" x14ac:dyDescent="0.25">
      <c r="A962" t="s">
        <v>140</v>
      </c>
      <c r="B962" t="s">
        <v>141</v>
      </c>
      <c r="C962" s="34">
        <v>44423</v>
      </c>
      <c r="D962" s="14">
        <v>2000</v>
      </c>
    </row>
    <row r="963" spans="1:4" x14ac:dyDescent="0.25">
      <c r="A963" t="s">
        <v>218</v>
      </c>
      <c r="B963" t="s">
        <v>219</v>
      </c>
      <c r="C963" s="34">
        <v>44424</v>
      </c>
      <c r="D963" s="14">
        <v>1500</v>
      </c>
    </row>
    <row r="964" spans="1:4" x14ac:dyDescent="0.25">
      <c r="A964" t="s">
        <v>1001</v>
      </c>
      <c r="B964" t="s">
        <v>1000</v>
      </c>
      <c r="C964" s="34">
        <v>44425</v>
      </c>
      <c r="D964" s="14">
        <v>1757.3019999999999</v>
      </c>
    </row>
    <row r="965" spans="1:4" x14ac:dyDescent="0.25">
      <c r="A965" t="s">
        <v>868</v>
      </c>
      <c r="B965" t="s">
        <v>867</v>
      </c>
      <c r="C965" s="34">
        <v>44425</v>
      </c>
      <c r="D965" s="14">
        <v>2444.4029999999998</v>
      </c>
    </row>
    <row r="966" spans="1:4" x14ac:dyDescent="0.25">
      <c r="A966" t="s">
        <v>126</v>
      </c>
      <c r="B966" t="s">
        <v>127</v>
      </c>
      <c r="C966" s="34">
        <v>44425</v>
      </c>
      <c r="D966" s="14">
        <v>1500</v>
      </c>
    </row>
    <row r="967" spans="1:4" x14ac:dyDescent="0.25">
      <c r="A967" t="s">
        <v>749</v>
      </c>
      <c r="B967" t="s">
        <v>748</v>
      </c>
      <c r="C967" s="34">
        <v>44425</v>
      </c>
      <c r="D967" s="14">
        <v>616.875</v>
      </c>
    </row>
    <row r="968" spans="1:4" x14ac:dyDescent="0.25">
      <c r="A968" t="s">
        <v>161</v>
      </c>
      <c r="B968" t="s">
        <v>162</v>
      </c>
      <c r="C968" s="34">
        <v>44426</v>
      </c>
      <c r="D968" s="14">
        <v>4560</v>
      </c>
    </row>
    <row r="969" spans="1:4" x14ac:dyDescent="0.25">
      <c r="A969" t="s">
        <v>1025</v>
      </c>
      <c r="B969" t="s">
        <v>1024</v>
      </c>
      <c r="C969" s="34">
        <v>44426</v>
      </c>
      <c r="D969" s="14">
        <v>2615.8589999999999</v>
      </c>
    </row>
    <row r="970" spans="1:4" x14ac:dyDescent="0.25">
      <c r="A970" t="s">
        <v>200</v>
      </c>
      <c r="B970" t="s">
        <v>201</v>
      </c>
      <c r="C970" s="34">
        <v>44426</v>
      </c>
      <c r="D970" s="14">
        <v>1416.6130000000001</v>
      </c>
    </row>
    <row r="971" spans="1:4" x14ac:dyDescent="0.25">
      <c r="A971" t="s">
        <v>756</v>
      </c>
      <c r="B971" t="s">
        <v>164</v>
      </c>
      <c r="C971" s="34">
        <v>44427</v>
      </c>
      <c r="D971" s="14">
        <v>754.774</v>
      </c>
    </row>
    <row r="972" spans="1:4" x14ac:dyDescent="0.25">
      <c r="A972" t="s">
        <v>550</v>
      </c>
      <c r="B972" t="s">
        <v>220</v>
      </c>
      <c r="C972" s="34">
        <v>44427</v>
      </c>
      <c r="D972" s="14">
        <v>811.56299999999999</v>
      </c>
    </row>
    <row r="973" spans="1:4" x14ac:dyDescent="0.25">
      <c r="A973" t="s">
        <v>159</v>
      </c>
      <c r="B973" t="s">
        <v>160</v>
      </c>
      <c r="C973" s="34">
        <v>44427</v>
      </c>
      <c r="D973" s="14">
        <v>1620</v>
      </c>
    </row>
    <row r="974" spans="1:4" x14ac:dyDescent="0.25">
      <c r="A974" t="s">
        <v>218</v>
      </c>
      <c r="B974" t="s">
        <v>219</v>
      </c>
      <c r="C974" s="34">
        <v>44427</v>
      </c>
      <c r="D974" s="14">
        <v>1500</v>
      </c>
    </row>
    <row r="975" spans="1:4" x14ac:dyDescent="0.25">
      <c r="A975" t="s">
        <v>142</v>
      </c>
      <c r="B975" t="s">
        <v>143</v>
      </c>
      <c r="C975" s="34">
        <v>44427</v>
      </c>
      <c r="D975" s="14">
        <v>1050</v>
      </c>
    </row>
    <row r="976" spans="1:4" x14ac:dyDescent="0.25">
      <c r="A976" t="s">
        <v>393</v>
      </c>
      <c r="B976" t="s">
        <v>150</v>
      </c>
      <c r="C976" s="34">
        <v>44428</v>
      </c>
      <c r="D976" s="14">
        <v>1870.847</v>
      </c>
    </row>
    <row r="977" spans="1:4" x14ac:dyDescent="0.25">
      <c r="A977" t="s">
        <v>353</v>
      </c>
      <c r="B977" t="s">
        <v>164</v>
      </c>
      <c r="C977" s="34">
        <v>44428</v>
      </c>
      <c r="D977" s="14">
        <v>865</v>
      </c>
    </row>
    <row r="978" spans="1:4" x14ac:dyDescent="0.25">
      <c r="A978" t="s">
        <v>853</v>
      </c>
      <c r="B978" t="s">
        <v>779</v>
      </c>
      <c r="C978" s="34">
        <v>44428</v>
      </c>
      <c r="D978" s="14">
        <v>1533.7449999999999</v>
      </c>
    </row>
    <row r="979" spans="1:4" x14ac:dyDescent="0.25">
      <c r="A979" t="s">
        <v>478</v>
      </c>
      <c r="B979" t="s">
        <v>404</v>
      </c>
      <c r="C979" s="34">
        <v>44428</v>
      </c>
      <c r="D979" s="14">
        <v>1050</v>
      </c>
    </row>
    <row r="980" spans="1:4" x14ac:dyDescent="0.25">
      <c r="A980" t="s">
        <v>822</v>
      </c>
      <c r="B980" t="s">
        <v>821</v>
      </c>
      <c r="C980" s="34">
        <v>44428</v>
      </c>
      <c r="D980" s="14">
        <v>1907.1420000000001</v>
      </c>
    </row>
    <row r="981" spans="1:4" x14ac:dyDescent="0.25">
      <c r="A981" t="s">
        <v>1334</v>
      </c>
      <c r="B981" t="s">
        <v>1333</v>
      </c>
      <c r="C981" s="34">
        <v>44428</v>
      </c>
      <c r="D981" s="14">
        <v>1186.58</v>
      </c>
    </row>
    <row r="982" spans="1:4" x14ac:dyDescent="0.25">
      <c r="A982" t="s">
        <v>1136</v>
      </c>
      <c r="B982" t="s">
        <v>1135</v>
      </c>
      <c r="C982" s="34">
        <v>44428</v>
      </c>
      <c r="D982" s="14">
        <v>250</v>
      </c>
    </row>
    <row r="983" spans="1:4" x14ac:dyDescent="0.25">
      <c r="A983" t="s">
        <v>216</v>
      </c>
      <c r="B983" t="s">
        <v>217</v>
      </c>
      <c r="C983" s="34">
        <v>44428</v>
      </c>
      <c r="D983" s="14">
        <v>4000</v>
      </c>
    </row>
    <row r="984" spans="1:4" x14ac:dyDescent="0.25">
      <c r="A984" t="s">
        <v>509</v>
      </c>
      <c r="B984" t="s">
        <v>508</v>
      </c>
      <c r="C984" s="34">
        <v>44428</v>
      </c>
      <c r="D984" s="14">
        <v>1983.252</v>
      </c>
    </row>
    <row r="985" spans="1:4" x14ac:dyDescent="0.25">
      <c r="A985" t="s">
        <v>153</v>
      </c>
      <c r="B985" t="s">
        <v>154</v>
      </c>
      <c r="C985" s="34">
        <v>44428</v>
      </c>
      <c r="D985" s="14">
        <v>1400</v>
      </c>
    </row>
    <row r="986" spans="1:4" x14ac:dyDescent="0.25">
      <c r="A986" t="s">
        <v>978</v>
      </c>
      <c r="B986" t="s">
        <v>977</v>
      </c>
      <c r="C986" s="34">
        <v>44428</v>
      </c>
      <c r="D986" s="14">
        <v>3784.9119999999998</v>
      </c>
    </row>
    <row r="987" spans="1:4" x14ac:dyDescent="0.25">
      <c r="A987" t="s">
        <v>178</v>
      </c>
      <c r="B987" t="s">
        <v>179</v>
      </c>
      <c r="C987" s="34">
        <v>44428</v>
      </c>
      <c r="D987" s="14">
        <v>2650</v>
      </c>
    </row>
    <row r="988" spans="1:4" x14ac:dyDescent="0.25">
      <c r="A988" t="s">
        <v>155</v>
      </c>
      <c r="B988" t="s">
        <v>156</v>
      </c>
      <c r="C988" s="34">
        <v>44428</v>
      </c>
      <c r="D988" s="14">
        <v>3000</v>
      </c>
    </row>
    <row r="989" spans="1:4" x14ac:dyDescent="0.25">
      <c r="A989" t="s">
        <v>363</v>
      </c>
      <c r="B989" t="s">
        <v>365</v>
      </c>
      <c r="C989" s="34">
        <v>44428</v>
      </c>
      <c r="D989" s="14">
        <v>1523.55</v>
      </c>
    </row>
    <row r="990" spans="1:4" x14ac:dyDescent="0.25">
      <c r="A990" t="s">
        <v>383</v>
      </c>
      <c r="B990" t="s">
        <v>382</v>
      </c>
      <c r="C990" s="34">
        <v>44428</v>
      </c>
      <c r="D990" s="14">
        <v>2487.2950000000001</v>
      </c>
    </row>
    <row r="991" spans="1:4" x14ac:dyDescent="0.25">
      <c r="A991" t="s">
        <v>887</v>
      </c>
      <c r="B991" t="s">
        <v>886</v>
      </c>
      <c r="C991" s="34">
        <v>44428</v>
      </c>
      <c r="D991" s="14">
        <v>2000</v>
      </c>
    </row>
    <row r="992" spans="1:4" x14ac:dyDescent="0.25">
      <c r="A992" t="s">
        <v>513</v>
      </c>
      <c r="B992" t="s">
        <v>338</v>
      </c>
      <c r="C992" s="34">
        <v>44428</v>
      </c>
      <c r="D992" s="14">
        <v>3500</v>
      </c>
    </row>
    <row r="993" spans="1:4" x14ac:dyDescent="0.25">
      <c r="A993" t="s">
        <v>713</v>
      </c>
      <c r="B993" t="s">
        <v>819</v>
      </c>
      <c r="C993" s="34">
        <v>44428</v>
      </c>
      <c r="D993" s="14">
        <v>1201.2560000000001</v>
      </c>
    </row>
    <row r="994" spans="1:4" x14ac:dyDescent="0.25">
      <c r="A994" t="s">
        <v>756</v>
      </c>
      <c r="B994" t="s">
        <v>164</v>
      </c>
      <c r="C994" s="34">
        <v>44429</v>
      </c>
      <c r="D994" s="14">
        <v>860</v>
      </c>
    </row>
    <row r="995" spans="1:4" x14ac:dyDescent="0.25">
      <c r="A995" t="s">
        <v>222</v>
      </c>
      <c r="B995" t="s">
        <v>223</v>
      </c>
      <c r="C995" s="34">
        <v>44430</v>
      </c>
      <c r="D995" s="14">
        <v>3416.319</v>
      </c>
    </row>
    <row r="996" spans="1:4" x14ac:dyDescent="0.25">
      <c r="A996" t="s">
        <v>756</v>
      </c>
      <c r="B996" t="s">
        <v>164</v>
      </c>
      <c r="C996" s="34">
        <v>44431</v>
      </c>
      <c r="D996" s="14">
        <v>870</v>
      </c>
    </row>
    <row r="997" spans="1:4" x14ac:dyDescent="0.25">
      <c r="A997" t="s">
        <v>353</v>
      </c>
      <c r="B997" t="s">
        <v>164</v>
      </c>
      <c r="C997" s="34">
        <v>44431</v>
      </c>
      <c r="D997" s="14">
        <v>860</v>
      </c>
    </row>
    <row r="998" spans="1:4" x14ac:dyDescent="0.25">
      <c r="A998" t="s">
        <v>142</v>
      </c>
      <c r="B998" t="s">
        <v>143</v>
      </c>
      <c r="C998" s="34">
        <v>44431</v>
      </c>
      <c r="D998" s="14">
        <v>1020</v>
      </c>
    </row>
    <row r="999" spans="1:4" x14ac:dyDescent="0.25">
      <c r="A999" t="s">
        <v>431</v>
      </c>
      <c r="B999" t="s">
        <v>337</v>
      </c>
      <c r="C999" s="34">
        <v>44432</v>
      </c>
      <c r="D999" s="14">
        <v>5243.4369999999999</v>
      </c>
    </row>
    <row r="1000" spans="1:4" x14ac:dyDescent="0.25">
      <c r="A1000" t="s">
        <v>178</v>
      </c>
      <c r="B1000" t="s">
        <v>179</v>
      </c>
      <c r="C1000" s="34">
        <v>44432</v>
      </c>
      <c r="D1000" s="14">
        <v>2799.8470000000002</v>
      </c>
    </row>
    <row r="1001" spans="1:4" x14ac:dyDescent="0.25">
      <c r="A1001" t="s">
        <v>172</v>
      </c>
      <c r="B1001" t="s">
        <v>173</v>
      </c>
      <c r="C1001" s="34">
        <v>44432</v>
      </c>
      <c r="D1001" s="14">
        <v>900</v>
      </c>
    </row>
    <row r="1002" spans="1:4" x14ac:dyDescent="0.25">
      <c r="A1002" t="s">
        <v>126</v>
      </c>
      <c r="B1002" t="s">
        <v>127</v>
      </c>
      <c r="C1002" s="34">
        <v>44432</v>
      </c>
      <c r="D1002" s="14">
        <v>1574.1880000000001</v>
      </c>
    </row>
    <row r="1003" spans="1:4" x14ac:dyDescent="0.25">
      <c r="A1003" t="s">
        <v>901</v>
      </c>
      <c r="B1003" t="s">
        <v>748</v>
      </c>
      <c r="C1003" s="34">
        <v>44432</v>
      </c>
      <c r="D1003" s="14">
        <v>616.875</v>
      </c>
    </row>
    <row r="1004" spans="1:4" x14ac:dyDescent="0.25">
      <c r="A1004" t="s">
        <v>952</v>
      </c>
      <c r="B1004" t="s">
        <v>134</v>
      </c>
      <c r="C1004" s="34">
        <v>44433</v>
      </c>
      <c r="D1004" s="14">
        <v>1600</v>
      </c>
    </row>
    <row r="1005" spans="1:4" x14ac:dyDescent="0.25">
      <c r="A1005" t="s">
        <v>756</v>
      </c>
      <c r="B1005" t="s">
        <v>164</v>
      </c>
      <c r="C1005" s="34">
        <v>44433</v>
      </c>
      <c r="D1005" s="14">
        <v>875</v>
      </c>
    </row>
    <row r="1006" spans="1:4" x14ac:dyDescent="0.25">
      <c r="A1006" t="s">
        <v>353</v>
      </c>
      <c r="B1006" t="s">
        <v>164</v>
      </c>
      <c r="C1006" s="34">
        <v>44433</v>
      </c>
      <c r="D1006" s="14">
        <v>853</v>
      </c>
    </row>
    <row r="1007" spans="1:4" x14ac:dyDescent="0.25">
      <c r="A1007" t="s">
        <v>478</v>
      </c>
      <c r="B1007" t="s">
        <v>404</v>
      </c>
      <c r="C1007" s="34">
        <v>44433</v>
      </c>
      <c r="D1007" s="14">
        <v>1065.242</v>
      </c>
    </row>
    <row r="1008" spans="1:4" x14ac:dyDescent="0.25">
      <c r="A1008" t="s">
        <v>544</v>
      </c>
      <c r="B1008" t="s">
        <v>304</v>
      </c>
      <c r="C1008" s="34">
        <v>44433</v>
      </c>
      <c r="D1008" s="14">
        <v>9450.1219999999994</v>
      </c>
    </row>
    <row r="1009" spans="1:4" x14ac:dyDescent="0.25">
      <c r="A1009" t="s">
        <v>153</v>
      </c>
      <c r="B1009" t="s">
        <v>154</v>
      </c>
      <c r="C1009" s="34">
        <v>44433</v>
      </c>
      <c r="D1009" s="14">
        <v>1400</v>
      </c>
    </row>
    <row r="1010" spans="1:4" x14ac:dyDescent="0.25">
      <c r="A1010" t="s">
        <v>232</v>
      </c>
      <c r="B1010" t="s">
        <v>233</v>
      </c>
      <c r="C1010" s="34">
        <v>44433</v>
      </c>
      <c r="D1010" s="14">
        <v>3000</v>
      </c>
    </row>
    <row r="1011" spans="1:4" x14ac:dyDescent="0.25">
      <c r="A1011" t="s">
        <v>218</v>
      </c>
      <c r="B1011" t="s">
        <v>219</v>
      </c>
      <c r="C1011" s="34">
        <v>44433</v>
      </c>
      <c r="D1011" s="14">
        <v>1500</v>
      </c>
    </row>
    <row r="1012" spans="1:4" x14ac:dyDescent="0.25">
      <c r="A1012" t="s">
        <v>261</v>
      </c>
      <c r="B1012" t="s">
        <v>262</v>
      </c>
      <c r="C1012" s="34">
        <v>44433</v>
      </c>
      <c r="D1012" s="14">
        <v>7159.7</v>
      </c>
    </row>
    <row r="1013" spans="1:4" x14ac:dyDescent="0.25">
      <c r="A1013" t="s">
        <v>859</v>
      </c>
      <c r="B1013" t="s">
        <v>858</v>
      </c>
      <c r="C1013" s="34">
        <v>44434</v>
      </c>
      <c r="D1013" s="14">
        <v>864.35599999999999</v>
      </c>
    </row>
    <row r="1014" spans="1:4" x14ac:dyDescent="0.25">
      <c r="A1014" t="s">
        <v>996</v>
      </c>
      <c r="B1014" t="s">
        <v>446</v>
      </c>
      <c r="C1014" s="34">
        <v>44434</v>
      </c>
      <c r="D1014" s="14">
        <v>579.51400000000001</v>
      </c>
    </row>
    <row r="1015" spans="1:4" x14ac:dyDescent="0.25">
      <c r="A1015" t="s">
        <v>161</v>
      </c>
      <c r="B1015" t="s">
        <v>162</v>
      </c>
      <c r="C1015" s="34">
        <v>44434</v>
      </c>
      <c r="D1015" s="14">
        <v>4560</v>
      </c>
    </row>
    <row r="1016" spans="1:4" x14ac:dyDescent="0.25">
      <c r="A1016" t="s">
        <v>301</v>
      </c>
      <c r="B1016" t="s">
        <v>227</v>
      </c>
      <c r="C1016" s="34">
        <v>44434</v>
      </c>
      <c r="D1016" s="14">
        <v>1747.7629999999999</v>
      </c>
    </row>
    <row r="1017" spans="1:4" x14ac:dyDescent="0.25">
      <c r="A1017" t="s">
        <v>521</v>
      </c>
      <c r="B1017" t="s">
        <v>364</v>
      </c>
      <c r="C1017" s="34">
        <v>44434</v>
      </c>
      <c r="D1017" s="14">
        <v>2000</v>
      </c>
    </row>
    <row r="1018" spans="1:4" x14ac:dyDescent="0.25">
      <c r="A1018" t="s">
        <v>126</v>
      </c>
      <c r="B1018" t="s">
        <v>127</v>
      </c>
      <c r="C1018" s="34">
        <v>44434</v>
      </c>
      <c r="D1018" s="14">
        <v>1000</v>
      </c>
    </row>
    <row r="1019" spans="1:4" x14ac:dyDescent="0.25">
      <c r="A1019" t="s">
        <v>756</v>
      </c>
      <c r="B1019" t="s">
        <v>164</v>
      </c>
      <c r="C1019" s="34">
        <v>44435</v>
      </c>
      <c r="D1019" s="14">
        <v>880</v>
      </c>
    </row>
    <row r="1020" spans="1:4" x14ac:dyDescent="0.25">
      <c r="A1020" t="s">
        <v>353</v>
      </c>
      <c r="B1020" t="s">
        <v>164</v>
      </c>
      <c r="C1020" s="34">
        <v>44435</v>
      </c>
      <c r="D1020" s="14">
        <v>885</v>
      </c>
    </row>
    <row r="1021" spans="1:4" x14ac:dyDescent="0.25">
      <c r="A1021" t="s">
        <v>1001</v>
      </c>
      <c r="B1021" t="s">
        <v>1000</v>
      </c>
      <c r="C1021" s="34">
        <v>44435</v>
      </c>
      <c r="D1021" s="14">
        <v>1757.3019999999999</v>
      </c>
    </row>
    <row r="1022" spans="1:4" x14ac:dyDescent="0.25">
      <c r="A1022" t="s">
        <v>793</v>
      </c>
      <c r="B1022" t="s">
        <v>792</v>
      </c>
      <c r="C1022" s="34">
        <v>44435</v>
      </c>
      <c r="D1022" s="14">
        <v>900</v>
      </c>
    </row>
    <row r="1023" spans="1:4" x14ac:dyDescent="0.25">
      <c r="A1023" t="s">
        <v>174</v>
      </c>
      <c r="B1023" t="s">
        <v>175</v>
      </c>
      <c r="C1023" s="34">
        <v>44435</v>
      </c>
      <c r="D1023" s="14">
        <v>14826.698</v>
      </c>
    </row>
    <row r="1024" spans="1:4" x14ac:dyDescent="0.25">
      <c r="A1024" t="s">
        <v>159</v>
      </c>
      <c r="B1024" t="s">
        <v>160</v>
      </c>
      <c r="C1024" s="34">
        <v>44435</v>
      </c>
      <c r="D1024" s="14">
        <v>1501.537</v>
      </c>
    </row>
    <row r="1025" spans="1:4" x14ac:dyDescent="0.25">
      <c r="A1025" t="s">
        <v>218</v>
      </c>
      <c r="B1025" t="s">
        <v>219</v>
      </c>
      <c r="C1025" s="34">
        <v>44435</v>
      </c>
      <c r="D1025" s="14">
        <v>1500</v>
      </c>
    </row>
    <row r="1026" spans="1:4" x14ac:dyDescent="0.25">
      <c r="A1026" t="s">
        <v>142</v>
      </c>
      <c r="B1026" t="s">
        <v>143</v>
      </c>
      <c r="C1026" s="34">
        <v>44435</v>
      </c>
      <c r="D1026" s="14">
        <v>1010</v>
      </c>
    </row>
    <row r="1027" spans="1:4" x14ac:dyDescent="0.25">
      <c r="A1027" t="s">
        <v>363</v>
      </c>
      <c r="B1027" t="s">
        <v>365</v>
      </c>
      <c r="C1027" s="34">
        <v>44436</v>
      </c>
      <c r="D1027" s="14">
        <v>1890</v>
      </c>
    </row>
    <row r="1028" spans="1:4" x14ac:dyDescent="0.25">
      <c r="A1028" t="s">
        <v>374</v>
      </c>
      <c r="B1028" t="s">
        <v>360</v>
      </c>
      <c r="C1028" s="34">
        <v>44436</v>
      </c>
      <c r="D1028" s="14">
        <v>950</v>
      </c>
    </row>
    <row r="1029" spans="1:4" x14ac:dyDescent="0.25">
      <c r="A1029" t="s">
        <v>374</v>
      </c>
      <c r="B1029" t="s">
        <v>360</v>
      </c>
      <c r="C1029" s="34">
        <v>44436</v>
      </c>
      <c r="D1029" s="14">
        <v>950</v>
      </c>
    </row>
    <row r="1030" spans="1:4" x14ac:dyDescent="0.25">
      <c r="A1030" t="s">
        <v>756</v>
      </c>
      <c r="B1030" t="s">
        <v>164</v>
      </c>
      <c r="C1030" s="34">
        <v>44438</v>
      </c>
      <c r="D1030" s="14">
        <v>883</v>
      </c>
    </row>
    <row r="1031" spans="1:4" x14ac:dyDescent="0.25">
      <c r="A1031" t="s">
        <v>386</v>
      </c>
      <c r="B1031" t="s">
        <v>132</v>
      </c>
      <c r="C1031" s="34">
        <v>44438</v>
      </c>
      <c r="D1031" s="14">
        <v>3850</v>
      </c>
    </row>
    <row r="1032" spans="1:4" x14ac:dyDescent="0.25">
      <c r="A1032" t="s">
        <v>459</v>
      </c>
      <c r="B1032" t="s">
        <v>185</v>
      </c>
      <c r="C1032" s="34">
        <v>44438</v>
      </c>
      <c r="D1032" s="14">
        <v>1650.93</v>
      </c>
    </row>
    <row r="1033" spans="1:4" x14ac:dyDescent="0.25">
      <c r="A1033" t="s">
        <v>448</v>
      </c>
      <c r="B1033" t="s">
        <v>447</v>
      </c>
      <c r="C1033" s="34">
        <v>44438</v>
      </c>
      <c r="D1033" s="14">
        <v>750</v>
      </c>
    </row>
    <row r="1034" spans="1:4" x14ac:dyDescent="0.25">
      <c r="A1034" t="s">
        <v>733</v>
      </c>
      <c r="B1034" t="s">
        <v>732</v>
      </c>
      <c r="C1034" s="34">
        <v>44438</v>
      </c>
      <c r="D1034" s="14">
        <v>1100.498</v>
      </c>
    </row>
    <row r="1035" spans="1:4" x14ac:dyDescent="0.25">
      <c r="A1035" t="s">
        <v>510</v>
      </c>
      <c r="B1035" t="s">
        <v>131</v>
      </c>
      <c r="C1035" s="34">
        <v>44438</v>
      </c>
      <c r="D1035" s="14">
        <v>1058.183</v>
      </c>
    </row>
    <row r="1036" spans="1:4" x14ac:dyDescent="0.25">
      <c r="A1036" t="s">
        <v>480</v>
      </c>
      <c r="B1036" t="s">
        <v>479</v>
      </c>
      <c r="C1036" s="34">
        <v>44438</v>
      </c>
      <c r="D1036" s="14">
        <v>905.00099999999998</v>
      </c>
    </row>
    <row r="1037" spans="1:4" x14ac:dyDescent="0.25">
      <c r="A1037" t="s">
        <v>853</v>
      </c>
      <c r="B1037" t="s">
        <v>779</v>
      </c>
      <c r="C1037" s="34">
        <v>44438</v>
      </c>
      <c r="D1037" s="14">
        <v>1758.396</v>
      </c>
    </row>
    <row r="1038" spans="1:4" x14ac:dyDescent="0.25">
      <c r="A1038" t="s">
        <v>216</v>
      </c>
      <c r="B1038" t="s">
        <v>217</v>
      </c>
      <c r="C1038" s="34">
        <v>44438</v>
      </c>
      <c r="D1038" s="14">
        <v>4000</v>
      </c>
    </row>
    <row r="1039" spans="1:4" x14ac:dyDescent="0.25">
      <c r="A1039" t="s">
        <v>190</v>
      </c>
      <c r="B1039" t="s">
        <v>191</v>
      </c>
      <c r="C1039" s="34">
        <v>44438</v>
      </c>
      <c r="D1039" s="14">
        <v>898.21699999999998</v>
      </c>
    </row>
    <row r="1040" spans="1:4" x14ac:dyDescent="0.25">
      <c r="A1040" t="s">
        <v>468</v>
      </c>
      <c r="B1040" t="s">
        <v>467</v>
      </c>
      <c r="C1040" s="34">
        <v>44438</v>
      </c>
      <c r="D1040" s="14">
        <v>3852.2910000000002</v>
      </c>
    </row>
    <row r="1041" spans="1:4" x14ac:dyDescent="0.25">
      <c r="A1041" t="s">
        <v>1025</v>
      </c>
      <c r="B1041" t="s">
        <v>1024</v>
      </c>
      <c r="C1041" s="34">
        <v>44438</v>
      </c>
      <c r="D1041" s="14">
        <v>2615.8589999999999</v>
      </c>
    </row>
    <row r="1042" spans="1:4" x14ac:dyDescent="0.25">
      <c r="A1042" t="s">
        <v>194</v>
      </c>
      <c r="B1042" t="s">
        <v>195</v>
      </c>
      <c r="C1042" s="34">
        <v>44438</v>
      </c>
      <c r="D1042" s="14">
        <v>1129.405</v>
      </c>
    </row>
    <row r="1043" spans="1:4" x14ac:dyDescent="0.25">
      <c r="A1043" t="s">
        <v>749</v>
      </c>
      <c r="B1043" t="s">
        <v>748</v>
      </c>
      <c r="C1043" s="34">
        <v>44438</v>
      </c>
      <c r="D1043" s="14">
        <v>616.875</v>
      </c>
    </row>
    <row r="1044" spans="1:4" x14ac:dyDescent="0.25">
      <c r="A1044" t="s">
        <v>389</v>
      </c>
      <c r="B1044" t="s">
        <v>242</v>
      </c>
      <c r="C1044" s="34">
        <v>44438</v>
      </c>
      <c r="D1044" s="14">
        <v>4113.7079999999996</v>
      </c>
    </row>
    <row r="1045" spans="1:4" x14ac:dyDescent="0.25">
      <c r="A1045" t="s">
        <v>513</v>
      </c>
      <c r="B1045" t="s">
        <v>338</v>
      </c>
      <c r="C1045" s="34">
        <v>44438</v>
      </c>
      <c r="D1045" s="14">
        <v>3000</v>
      </c>
    </row>
    <row r="1046" spans="1:4" x14ac:dyDescent="0.25">
      <c r="A1046" t="s">
        <v>713</v>
      </c>
      <c r="B1046" t="s">
        <v>819</v>
      </c>
      <c r="C1046" s="34">
        <v>44438</v>
      </c>
      <c r="D1046" s="14">
        <v>640.88</v>
      </c>
    </row>
    <row r="1047" spans="1:4" x14ac:dyDescent="0.25">
      <c r="A1047" t="s">
        <v>1057</v>
      </c>
      <c r="B1047" t="s">
        <v>1056</v>
      </c>
      <c r="C1047" s="34">
        <v>44438</v>
      </c>
      <c r="D1047" s="14">
        <v>2188.62</v>
      </c>
    </row>
    <row r="1048" spans="1:4" x14ac:dyDescent="0.25">
      <c r="A1048" t="s">
        <v>157</v>
      </c>
      <c r="B1048" t="s">
        <v>158</v>
      </c>
      <c r="C1048" s="34">
        <v>44438</v>
      </c>
      <c r="D1048" s="14">
        <v>894.05700000000002</v>
      </c>
    </row>
    <row r="1049" spans="1:4" x14ac:dyDescent="0.25">
      <c r="A1049" t="s">
        <v>196</v>
      </c>
      <c r="B1049" t="s">
        <v>197</v>
      </c>
      <c r="C1049" s="34">
        <v>44438</v>
      </c>
      <c r="D1049" s="14">
        <v>2477.7370000000001</v>
      </c>
    </row>
    <row r="1050" spans="1:4" x14ac:dyDescent="0.25">
      <c r="A1050" t="s">
        <v>482</v>
      </c>
      <c r="B1050" t="s">
        <v>481</v>
      </c>
      <c r="C1050" s="34">
        <v>44438</v>
      </c>
      <c r="D1050" s="14">
        <v>2329.2399999999998</v>
      </c>
    </row>
    <row r="1051" spans="1:4" x14ac:dyDescent="0.25">
      <c r="A1051" t="s">
        <v>314</v>
      </c>
      <c r="B1051" t="s">
        <v>313</v>
      </c>
      <c r="C1051" s="34">
        <v>44438</v>
      </c>
      <c r="D1051" s="14">
        <v>1848.6220000000001</v>
      </c>
    </row>
    <row r="1052" spans="1:4" x14ac:dyDescent="0.25">
      <c r="A1052" t="s">
        <v>431</v>
      </c>
      <c r="B1052" t="s">
        <v>337</v>
      </c>
      <c r="C1052" s="34">
        <v>44439</v>
      </c>
      <c r="D1052" s="14">
        <v>5243.4369999999999</v>
      </c>
    </row>
    <row r="1053" spans="1:4" x14ac:dyDescent="0.25">
      <c r="A1053" t="s">
        <v>626</v>
      </c>
      <c r="B1053" t="s">
        <v>202</v>
      </c>
      <c r="C1053" s="34">
        <v>44439</v>
      </c>
      <c r="D1053" s="14">
        <v>5578.06</v>
      </c>
    </row>
    <row r="1054" spans="1:4" x14ac:dyDescent="0.25">
      <c r="A1054" t="s">
        <v>899</v>
      </c>
      <c r="B1054" t="s">
        <v>259</v>
      </c>
      <c r="C1054" s="34">
        <v>44439</v>
      </c>
      <c r="D1054" s="14">
        <v>3000</v>
      </c>
    </row>
    <row r="1055" spans="1:4" x14ac:dyDescent="0.25">
      <c r="A1055" t="s">
        <v>488</v>
      </c>
      <c r="B1055" t="s">
        <v>236</v>
      </c>
      <c r="C1055" s="34">
        <v>44439</v>
      </c>
      <c r="D1055" s="14">
        <v>862</v>
      </c>
    </row>
    <row r="1056" spans="1:4" x14ac:dyDescent="0.25">
      <c r="A1056" t="s">
        <v>393</v>
      </c>
      <c r="B1056" t="s">
        <v>150</v>
      </c>
      <c r="C1056" s="34">
        <v>44439</v>
      </c>
      <c r="D1056" s="14">
        <v>1545.328</v>
      </c>
    </row>
    <row r="1057" spans="1:4" x14ac:dyDescent="0.25">
      <c r="A1057" t="s">
        <v>1227</v>
      </c>
      <c r="B1057" t="s">
        <v>1226</v>
      </c>
      <c r="C1057" s="34">
        <v>44439</v>
      </c>
      <c r="D1057" s="14">
        <v>653.303</v>
      </c>
    </row>
    <row r="1058" spans="1:4" x14ac:dyDescent="0.25">
      <c r="A1058" t="s">
        <v>1053</v>
      </c>
      <c r="B1058" t="s">
        <v>1052</v>
      </c>
      <c r="C1058" s="34">
        <v>44439</v>
      </c>
      <c r="D1058" s="14">
        <v>893.80200000000002</v>
      </c>
    </row>
    <row r="1059" spans="1:4" x14ac:dyDescent="0.25">
      <c r="A1059" t="s">
        <v>900</v>
      </c>
      <c r="B1059" t="s">
        <v>241</v>
      </c>
      <c r="C1059" s="34">
        <v>44439</v>
      </c>
      <c r="D1059" s="14">
        <v>7684.5630000000001</v>
      </c>
    </row>
    <row r="1060" spans="1:4" x14ac:dyDescent="0.25">
      <c r="A1060" t="s">
        <v>407</v>
      </c>
      <c r="B1060" t="s">
        <v>344</v>
      </c>
      <c r="C1060" s="34">
        <v>44439</v>
      </c>
      <c r="D1060" s="14">
        <v>2300</v>
      </c>
    </row>
    <row r="1061" spans="1:4" x14ac:dyDescent="0.25">
      <c r="A1061" t="s">
        <v>426</v>
      </c>
      <c r="B1061" t="s">
        <v>180</v>
      </c>
      <c r="C1061" s="34">
        <v>44439</v>
      </c>
      <c r="D1061" s="14">
        <v>1160.675</v>
      </c>
    </row>
    <row r="1062" spans="1:4" x14ac:dyDescent="0.25">
      <c r="A1062" t="s">
        <v>166</v>
      </c>
      <c r="B1062" t="s">
        <v>167</v>
      </c>
      <c r="C1062" s="34">
        <v>44439</v>
      </c>
      <c r="D1062" s="14">
        <v>3049.2829999999999</v>
      </c>
    </row>
    <row r="1063" spans="1:4" x14ac:dyDescent="0.25">
      <c r="A1063" t="s">
        <v>161</v>
      </c>
      <c r="B1063" t="s">
        <v>162</v>
      </c>
      <c r="C1063" s="34">
        <v>44439</v>
      </c>
      <c r="D1063" s="14">
        <v>4593.8530000000001</v>
      </c>
    </row>
    <row r="1064" spans="1:4" x14ac:dyDescent="0.25">
      <c r="A1064" t="s">
        <v>228</v>
      </c>
      <c r="B1064" t="s">
        <v>229</v>
      </c>
      <c r="C1064" s="34">
        <v>44439</v>
      </c>
      <c r="D1064" s="14">
        <v>3080.6219999999998</v>
      </c>
    </row>
    <row r="1065" spans="1:4" x14ac:dyDescent="0.25">
      <c r="A1065" t="s">
        <v>565</v>
      </c>
      <c r="B1065" t="s">
        <v>564</v>
      </c>
      <c r="C1065" s="34">
        <v>44439</v>
      </c>
      <c r="D1065" s="14">
        <v>1880.8430000000001</v>
      </c>
    </row>
    <row r="1066" spans="1:4" x14ac:dyDescent="0.25">
      <c r="A1066" t="s">
        <v>153</v>
      </c>
      <c r="B1066" t="s">
        <v>154</v>
      </c>
      <c r="C1066" s="34">
        <v>44439</v>
      </c>
      <c r="D1066" s="14">
        <v>1400</v>
      </c>
    </row>
    <row r="1067" spans="1:4" x14ac:dyDescent="0.25">
      <c r="A1067" t="s">
        <v>469</v>
      </c>
      <c r="B1067" t="s">
        <v>214</v>
      </c>
      <c r="C1067" s="34">
        <v>44439</v>
      </c>
      <c r="D1067" s="14">
        <v>1878.604</v>
      </c>
    </row>
    <row r="1068" spans="1:4" x14ac:dyDescent="0.25">
      <c r="A1068" t="s">
        <v>155</v>
      </c>
      <c r="B1068" t="s">
        <v>156</v>
      </c>
      <c r="C1068" s="34">
        <v>44439</v>
      </c>
      <c r="D1068" s="14">
        <v>2903.2310000000002</v>
      </c>
    </row>
    <row r="1069" spans="1:4" x14ac:dyDescent="0.25">
      <c r="A1069" t="s">
        <v>930</v>
      </c>
      <c r="B1069" t="s">
        <v>929</v>
      </c>
      <c r="C1069" s="34">
        <v>44439</v>
      </c>
      <c r="D1069" s="14">
        <v>3572.9050000000002</v>
      </c>
    </row>
    <row r="1070" spans="1:4" x14ac:dyDescent="0.25">
      <c r="A1070" t="s">
        <v>517</v>
      </c>
      <c r="B1070" t="s">
        <v>516</v>
      </c>
      <c r="C1070" s="34">
        <v>44439</v>
      </c>
      <c r="D1070" s="14">
        <v>1860.432</v>
      </c>
    </row>
    <row r="1071" spans="1:4" x14ac:dyDescent="0.25">
      <c r="A1071" t="s">
        <v>577</v>
      </c>
      <c r="B1071" t="s">
        <v>576</v>
      </c>
      <c r="C1071" s="34">
        <v>44439</v>
      </c>
      <c r="D1071" s="14">
        <v>2420</v>
      </c>
    </row>
    <row r="1072" spans="1:4" x14ac:dyDescent="0.25">
      <c r="A1072" t="s">
        <v>1332</v>
      </c>
      <c r="B1072" t="s">
        <v>1331</v>
      </c>
      <c r="C1072" s="34">
        <v>44439</v>
      </c>
      <c r="D1072" s="14">
        <v>204.875</v>
      </c>
    </row>
    <row r="1073" spans="1:4" x14ac:dyDescent="0.25">
      <c r="A1073" t="s">
        <v>330</v>
      </c>
      <c r="B1073" t="s">
        <v>345</v>
      </c>
      <c r="C1073" s="34">
        <v>44439</v>
      </c>
      <c r="D1073" s="14">
        <v>2526.6109999999999</v>
      </c>
    </row>
    <row r="1074" spans="1:4" x14ac:dyDescent="0.25">
      <c r="A1074" t="s">
        <v>999</v>
      </c>
      <c r="B1074" t="s">
        <v>998</v>
      </c>
      <c r="C1074" s="34">
        <v>44439</v>
      </c>
      <c r="D1074" s="14">
        <v>614.71100000000001</v>
      </c>
    </row>
    <row r="1075" spans="1:4" x14ac:dyDescent="0.25">
      <c r="A1075" t="s">
        <v>621</v>
      </c>
      <c r="B1075" t="s">
        <v>567</v>
      </c>
      <c r="C1075" s="34">
        <v>44439</v>
      </c>
      <c r="D1075" s="14">
        <v>2045</v>
      </c>
    </row>
    <row r="1076" spans="1:4" x14ac:dyDescent="0.25">
      <c r="A1076" t="s">
        <v>142</v>
      </c>
      <c r="B1076" t="s">
        <v>143</v>
      </c>
      <c r="C1076" s="34">
        <v>44439</v>
      </c>
      <c r="D1076" s="14">
        <v>1035</v>
      </c>
    </row>
    <row r="1077" spans="1:4" ht="15.75" thickBot="1" x14ac:dyDescent="0.3">
      <c r="A1077" t="s">
        <v>140</v>
      </c>
      <c r="B1077" t="s">
        <v>141</v>
      </c>
      <c r="C1077" s="34">
        <v>44439</v>
      </c>
      <c r="D1077" s="14">
        <v>2490.9920000000002</v>
      </c>
    </row>
    <row r="1078" spans="1:4" ht="15.75" thickBot="1" x14ac:dyDescent="0.3">
      <c r="A1078" s="695" t="s">
        <v>936</v>
      </c>
      <c r="B1078" s="696"/>
      <c r="C1078" s="696"/>
      <c r="D1078" s="314">
        <f>SUM(D857:D1077)</f>
        <v>475542.32700000011</v>
      </c>
    </row>
    <row r="1079" spans="1:4" x14ac:dyDescent="0.25">
      <c r="A1079" t="s">
        <v>172</v>
      </c>
      <c r="B1079" t="s">
        <v>173</v>
      </c>
      <c r="C1079" s="34">
        <v>44440</v>
      </c>
      <c r="D1079" s="14">
        <v>900</v>
      </c>
    </row>
    <row r="1080" spans="1:4" x14ac:dyDescent="0.25">
      <c r="A1080" t="s">
        <v>123</v>
      </c>
      <c r="B1080" t="s">
        <v>342</v>
      </c>
      <c r="C1080" s="34">
        <v>44440</v>
      </c>
      <c r="D1080" s="14">
        <v>3253.7759999999998</v>
      </c>
    </row>
    <row r="1081" spans="1:4" x14ac:dyDescent="0.25">
      <c r="A1081" t="s">
        <v>793</v>
      </c>
      <c r="B1081" t="s">
        <v>792</v>
      </c>
      <c r="C1081" s="34">
        <v>44442</v>
      </c>
      <c r="D1081" s="14">
        <v>946.88300000000004</v>
      </c>
    </row>
    <row r="1082" spans="1:4" x14ac:dyDescent="0.25">
      <c r="A1082" t="s">
        <v>362</v>
      </c>
      <c r="B1082" t="s">
        <v>343</v>
      </c>
      <c r="C1082" s="34">
        <v>44443</v>
      </c>
      <c r="D1082" s="14">
        <v>4855.7089999999998</v>
      </c>
    </row>
    <row r="1083" spans="1:4" x14ac:dyDescent="0.25">
      <c r="A1083" t="s">
        <v>142</v>
      </c>
      <c r="B1083" t="s">
        <v>143</v>
      </c>
      <c r="C1083" s="34">
        <v>44443</v>
      </c>
      <c r="D1083" s="14">
        <v>1060</v>
      </c>
    </row>
    <row r="1084" spans="1:4" x14ac:dyDescent="0.25">
      <c r="A1084" t="s">
        <v>953</v>
      </c>
      <c r="B1084" t="s">
        <v>163</v>
      </c>
      <c r="C1084" s="34">
        <v>44444</v>
      </c>
      <c r="D1084" s="14">
        <v>1689.127</v>
      </c>
    </row>
    <row r="1085" spans="1:4" x14ac:dyDescent="0.25">
      <c r="A1085" t="s">
        <v>899</v>
      </c>
      <c r="B1085" t="s">
        <v>259</v>
      </c>
      <c r="C1085" s="34">
        <v>44444</v>
      </c>
      <c r="D1085" s="14">
        <v>3648.3470000000002</v>
      </c>
    </row>
    <row r="1086" spans="1:4" x14ac:dyDescent="0.25">
      <c r="A1086" t="s">
        <v>394</v>
      </c>
      <c r="B1086" t="s">
        <v>357</v>
      </c>
      <c r="C1086" s="34">
        <v>44444</v>
      </c>
      <c r="D1086" s="14">
        <v>548.89300000000003</v>
      </c>
    </row>
    <row r="1087" spans="1:4" x14ac:dyDescent="0.25">
      <c r="A1087" t="s">
        <v>144</v>
      </c>
      <c r="B1087" t="s">
        <v>145</v>
      </c>
      <c r="C1087" s="34">
        <v>44444</v>
      </c>
      <c r="D1087" s="14">
        <v>1111.8620000000001</v>
      </c>
    </row>
    <row r="1088" spans="1:4" x14ac:dyDescent="0.25">
      <c r="A1088" t="s">
        <v>550</v>
      </c>
      <c r="B1088" t="s">
        <v>220</v>
      </c>
      <c r="C1088" s="34">
        <v>44444</v>
      </c>
      <c r="D1088" s="14">
        <v>2124.402</v>
      </c>
    </row>
    <row r="1089" spans="1:4" x14ac:dyDescent="0.25">
      <c r="A1089" t="s">
        <v>410</v>
      </c>
      <c r="B1089" t="s">
        <v>356</v>
      </c>
      <c r="C1089" s="34">
        <v>44444</v>
      </c>
      <c r="D1089" s="14">
        <v>770.79200000000003</v>
      </c>
    </row>
    <row r="1090" spans="1:4" x14ac:dyDescent="0.25">
      <c r="A1090" t="s">
        <v>363</v>
      </c>
      <c r="B1090" t="s">
        <v>365</v>
      </c>
      <c r="C1090" s="34">
        <v>44444</v>
      </c>
      <c r="D1090" s="14">
        <v>1890</v>
      </c>
    </row>
    <row r="1091" spans="1:4" x14ac:dyDescent="0.25">
      <c r="A1091" t="s">
        <v>374</v>
      </c>
      <c r="B1091" t="s">
        <v>360</v>
      </c>
      <c r="C1091" s="34">
        <v>44444</v>
      </c>
      <c r="D1091" s="14">
        <v>950</v>
      </c>
    </row>
    <row r="1092" spans="1:4" x14ac:dyDescent="0.25">
      <c r="A1092" t="s">
        <v>374</v>
      </c>
      <c r="B1092" t="s">
        <v>360</v>
      </c>
      <c r="C1092" s="34">
        <v>44444</v>
      </c>
      <c r="D1092" s="14">
        <v>950</v>
      </c>
    </row>
    <row r="1093" spans="1:4" x14ac:dyDescent="0.25">
      <c r="A1093" t="s">
        <v>1049</v>
      </c>
      <c r="B1093" t="s">
        <v>217</v>
      </c>
      <c r="C1093" s="34">
        <v>44446</v>
      </c>
      <c r="D1093" s="14">
        <v>4000</v>
      </c>
    </row>
    <row r="1094" spans="1:4" x14ac:dyDescent="0.25">
      <c r="A1094" t="s">
        <v>218</v>
      </c>
      <c r="B1094" t="s">
        <v>219</v>
      </c>
      <c r="C1094" s="34">
        <v>44446</v>
      </c>
      <c r="D1094" s="14">
        <v>1500</v>
      </c>
    </row>
    <row r="1095" spans="1:4" x14ac:dyDescent="0.25">
      <c r="A1095" t="s">
        <v>161</v>
      </c>
      <c r="B1095" t="s">
        <v>162</v>
      </c>
      <c r="C1095" s="34">
        <v>44447</v>
      </c>
      <c r="D1095" s="14">
        <v>5720</v>
      </c>
    </row>
    <row r="1096" spans="1:4" x14ac:dyDescent="0.25">
      <c r="A1096" t="s">
        <v>142</v>
      </c>
      <c r="B1096" t="s">
        <v>143</v>
      </c>
      <c r="C1096" s="34">
        <v>44447</v>
      </c>
      <c r="D1096" s="14">
        <v>1071.982</v>
      </c>
    </row>
    <row r="1097" spans="1:4" x14ac:dyDescent="0.25">
      <c r="A1097" t="s">
        <v>431</v>
      </c>
      <c r="B1097" t="s">
        <v>337</v>
      </c>
      <c r="C1097" s="34">
        <v>44449</v>
      </c>
      <c r="D1097" s="14">
        <v>5243.4369999999999</v>
      </c>
    </row>
    <row r="1098" spans="1:4" x14ac:dyDescent="0.25">
      <c r="A1098" t="s">
        <v>353</v>
      </c>
      <c r="B1098" t="s">
        <v>164</v>
      </c>
      <c r="C1098" s="34">
        <v>44449</v>
      </c>
      <c r="D1098" s="14">
        <v>870</v>
      </c>
    </row>
    <row r="1099" spans="1:4" x14ac:dyDescent="0.25">
      <c r="A1099" t="s">
        <v>424</v>
      </c>
      <c r="B1099" t="s">
        <v>320</v>
      </c>
      <c r="C1099" s="34">
        <v>44449</v>
      </c>
      <c r="D1099" s="14">
        <v>8403.3919999999998</v>
      </c>
    </row>
    <row r="1100" spans="1:4" x14ac:dyDescent="0.25">
      <c r="A1100" t="s">
        <v>393</v>
      </c>
      <c r="B1100" t="s">
        <v>150</v>
      </c>
      <c r="C1100" s="34">
        <v>44449</v>
      </c>
      <c r="D1100" s="14">
        <v>1545.328</v>
      </c>
    </row>
    <row r="1101" spans="1:4" x14ac:dyDescent="0.25">
      <c r="A1101" t="s">
        <v>407</v>
      </c>
      <c r="B1101" t="s">
        <v>344</v>
      </c>
      <c r="C1101" s="34">
        <v>44449</v>
      </c>
      <c r="D1101" s="14">
        <v>2300</v>
      </c>
    </row>
    <row r="1102" spans="1:4" x14ac:dyDescent="0.25">
      <c r="A1102" t="s">
        <v>232</v>
      </c>
      <c r="B1102" t="s">
        <v>233</v>
      </c>
      <c r="C1102" s="34">
        <v>44449</v>
      </c>
      <c r="D1102" s="14">
        <v>2198.6959999999999</v>
      </c>
    </row>
    <row r="1103" spans="1:4" x14ac:dyDescent="0.25">
      <c r="A1103" t="s">
        <v>374</v>
      </c>
      <c r="B1103" t="s">
        <v>360</v>
      </c>
      <c r="C1103" s="34">
        <v>44449</v>
      </c>
      <c r="D1103" s="14">
        <v>850</v>
      </c>
    </row>
    <row r="1104" spans="1:4" x14ac:dyDescent="0.25">
      <c r="A1104" t="s">
        <v>353</v>
      </c>
      <c r="B1104" t="s">
        <v>164</v>
      </c>
      <c r="C1104" s="34">
        <v>44450</v>
      </c>
      <c r="D1104" s="14">
        <v>880</v>
      </c>
    </row>
    <row r="1105" spans="1:4" x14ac:dyDescent="0.25">
      <c r="A1105" t="s">
        <v>335</v>
      </c>
      <c r="B1105" t="s">
        <v>208</v>
      </c>
      <c r="C1105" s="34">
        <v>44450</v>
      </c>
      <c r="D1105" s="14">
        <v>1152.1210000000001</v>
      </c>
    </row>
    <row r="1106" spans="1:4" x14ac:dyDescent="0.25">
      <c r="A1106" t="s">
        <v>172</v>
      </c>
      <c r="B1106" t="s">
        <v>173</v>
      </c>
      <c r="C1106" s="34">
        <v>44450</v>
      </c>
      <c r="D1106" s="14">
        <v>900</v>
      </c>
    </row>
    <row r="1107" spans="1:4" x14ac:dyDescent="0.25">
      <c r="A1107" t="s">
        <v>218</v>
      </c>
      <c r="B1107" t="s">
        <v>219</v>
      </c>
      <c r="C1107" s="34">
        <v>44450</v>
      </c>
      <c r="D1107" s="14">
        <v>1500</v>
      </c>
    </row>
    <row r="1108" spans="1:4" x14ac:dyDescent="0.25">
      <c r="A1108" t="s">
        <v>353</v>
      </c>
      <c r="B1108" t="s">
        <v>164</v>
      </c>
      <c r="C1108" s="34">
        <v>44451</v>
      </c>
      <c r="D1108" s="14">
        <v>875</v>
      </c>
    </row>
    <row r="1109" spans="1:4" x14ac:dyDescent="0.25">
      <c r="A1109" t="s">
        <v>363</v>
      </c>
      <c r="B1109" t="s">
        <v>365</v>
      </c>
      <c r="C1109" s="34">
        <v>44451</v>
      </c>
      <c r="D1109" s="14">
        <v>1890</v>
      </c>
    </row>
    <row r="1110" spans="1:4" x14ac:dyDescent="0.25">
      <c r="A1110" t="s">
        <v>225</v>
      </c>
      <c r="B1110" t="s">
        <v>122</v>
      </c>
      <c r="C1110" s="34">
        <v>44451</v>
      </c>
      <c r="D1110" s="14">
        <v>572.06799999999998</v>
      </c>
    </row>
    <row r="1111" spans="1:4" x14ac:dyDescent="0.25">
      <c r="A1111" t="s">
        <v>353</v>
      </c>
      <c r="B1111" t="s">
        <v>164</v>
      </c>
      <c r="C1111" s="34">
        <v>44452</v>
      </c>
      <c r="D1111" s="14">
        <v>850</v>
      </c>
    </row>
    <row r="1112" spans="1:4" x14ac:dyDescent="0.25">
      <c r="A1112" t="s">
        <v>353</v>
      </c>
      <c r="B1112" t="s">
        <v>164</v>
      </c>
      <c r="C1112" s="34">
        <v>44453</v>
      </c>
      <c r="D1112" s="14">
        <v>757.11900000000003</v>
      </c>
    </row>
    <row r="1113" spans="1:4" x14ac:dyDescent="0.25">
      <c r="A1113" t="s">
        <v>144</v>
      </c>
      <c r="B1113" t="s">
        <v>145</v>
      </c>
      <c r="C1113" s="34">
        <v>44453</v>
      </c>
      <c r="D1113" s="14">
        <v>1111.8620000000001</v>
      </c>
    </row>
    <row r="1114" spans="1:4" x14ac:dyDescent="0.25">
      <c r="A1114" t="s">
        <v>216</v>
      </c>
      <c r="B1114" t="s">
        <v>217</v>
      </c>
      <c r="C1114" s="34">
        <v>44453</v>
      </c>
      <c r="D1114" s="14">
        <v>4000</v>
      </c>
    </row>
    <row r="1115" spans="1:4" x14ac:dyDescent="0.25">
      <c r="A1115" t="s">
        <v>161</v>
      </c>
      <c r="B1115" t="s">
        <v>162</v>
      </c>
      <c r="C1115" s="34">
        <v>44453</v>
      </c>
      <c r="D1115" s="14">
        <v>5720</v>
      </c>
    </row>
    <row r="1116" spans="1:4" x14ac:dyDescent="0.25">
      <c r="A1116" t="s">
        <v>246</v>
      </c>
      <c r="B1116" t="s">
        <v>247</v>
      </c>
      <c r="C1116" s="34">
        <v>44454</v>
      </c>
      <c r="D1116" s="14">
        <v>6745.3119999999999</v>
      </c>
    </row>
    <row r="1117" spans="1:4" x14ac:dyDescent="0.25">
      <c r="A1117" t="s">
        <v>319</v>
      </c>
      <c r="B1117" t="s">
        <v>130</v>
      </c>
      <c r="C1117" s="34">
        <v>44454</v>
      </c>
      <c r="D1117" s="14">
        <v>8807.84</v>
      </c>
    </row>
    <row r="1118" spans="1:4" x14ac:dyDescent="0.25">
      <c r="A1118" t="s">
        <v>431</v>
      </c>
      <c r="B1118" t="s">
        <v>337</v>
      </c>
      <c r="C1118" s="34">
        <v>44454</v>
      </c>
      <c r="D1118" s="14">
        <v>5243.4369999999999</v>
      </c>
    </row>
    <row r="1119" spans="1:4" x14ac:dyDescent="0.25">
      <c r="A1119" t="s">
        <v>386</v>
      </c>
      <c r="B1119" t="s">
        <v>132</v>
      </c>
      <c r="C1119" s="34">
        <v>44454</v>
      </c>
      <c r="D1119" s="14">
        <v>3887.5920000000001</v>
      </c>
    </row>
    <row r="1120" spans="1:4" x14ac:dyDescent="0.25">
      <c r="A1120" t="s">
        <v>448</v>
      </c>
      <c r="B1120" t="s">
        <v>447</v>
      </c>
      <c r="C1120" s="34">
        <v>44454</v>
      </c>
      <c r="D1120" s="14">
        <v>750</v>
      </c>
    </row>
    <row r="1121" spans="1:4" x14ac:dyDescent="0.25">
      <c r="A1121" t="s">
        <v>340</v>
      </c>
      <c r="B1121" t="s">
        <v>188</v>
      </c>
      <c r="C1121" s="34">
        <v>44454</v>
      </c>
      <c r="D1121" s="14">
        <v>7592.9780000000001</v>
      </c>
    </row>
    <row r="1122" spans="1:4" x14ac:dyDescent="0.25">
      <c r="A1122" t="s">
        <v>592</v>
      </c>
      <c r="B1122" t="s">
        <v>184</v>
      </c>
      <c r="C1122" s="34">
        <v>44454</v>
      </c>
      <c r="D1122" s="14">
        <v>1847.2829999999999</v>
      </c>
    </row>
    <row r="1123" spans="1:4" x14ac:dyDescent="0.25">
      <c r="A1123" t="s">
        <v>881</v>
      </c>
      <c r="B1123" t="s">
        <v>880</v>
      </c>
      <c r="C1123" s="34">
        <v>44454</v>
      </c>
      <c r="D1123" s="14">
        <v>2219.96</v>
      </c>
    </row>
    <row r="1124" spans="1:4" x14ac:dyDescent="0.25">
      <c r="A1124" t="s">
        <v>218</v>
      </c>
      <c r="B1124" t="s">
        <v>219</v>
      </c>
      <c r="C1124" s="34">
        <v>44454</v>
      </c>
      <c r="D1124" s="14">
        <v>913.41200000000003</v>
      </c>
    </row>
    <row r="1125" spans="1:4" x14ac:dyDescent="0.25">
      <c r="A1125" t="s">
        <v>374</v>
      </c>
      <c r="B1125" t="s">
        <v>360</v>
      </c>
      <c r="C1125" s="34">
        <v>44454</v>
      </c>
      <c r="D1125" s="14">
        <v>850</v>
      </c>
    </row>
    <row r="1126" spans="1:4" x14ac:dyDescent="0.25">
      <c r="A1126" t="s">
        <v>374</v>
      </c>
      <c r="B1126" t="s">
        <v>360</v>
      </c>
      <c r="C1126" s="34">
        <v>44454</v>
      </c>
      <c r="D1126" s="14">
        <v>850</v>
      </c>
    </row>
    <row r="1127" spans="1:4" x14ac:dyDescent="0.25">
      <c r="A1127" t="s">
        <v>407</v>
      </c>
      <c r="B1127" t="s">
        <v>344</v>
      </c>
      <c r="C1127" s="34">
        <v>44456</v>
      </c>
      <c r="D1127" s="14">
        <v>2289.0149999999999</v>
      </c>
    </row>
    <row r="1128" spans="1:4" x14ac:dyDescent="0.25">
      <c r="A1128" t="s">
        <v>211</v>
      </c>
      <c r="B1128" t="s">
        <v>212</v>
      </c>
      <c r="C1128" s="34">
        <v>44456</v>
      </c>
      <c r="D1128" s="14">
        <v>1105</v>
      </c>
    </row>
    <row r="1129" spans="1:4" x14ac:dyDescent="0.25">
      <c r="A1129" t="s">
        <v>218</v>
      </c>
      <c r="B1129" t="s">
        <v>219</v>
      </c>
      <c r="C1129" s="34">
        <v>44457</v>
      </c>
      <c r="D1129" s="14">
        <v>1500</v>
      </c>
    </row>
    <row r="1130" spans="1:4" x14ac:dyDescent="0.25">
      <c r="A1130" t="s">
        <v>200</v>
      </c>
      <c r="B1130" t="s">
        <v>201</v>
      </c>
      <c r="C1130" s="34">
        <v>44457</v>
      </c>
      <c r="D1130" s="14">
        <v>2411.694</v>
      </c>
    </row>
    <row r="1131" spans="1:4" x14ac:dyDescent="0.25">
      <c r="A1131" t="s">
        <v>363</v>
      </c>
      <c r="B1131" t="s">
        <v>365</v>
      </c>
      <c r="C1131" s="34">
        <v>44458</v>
      </c>
      <c r="D1131" s="14">
        <v>1890</v>
      </c>
    </row>
    <row r="1132" spans="1:4" x14ac:dyDescent="0.25">
      <c r="A1132" t="s">
        <v>853</v>
      </c>
      <c r="B1132" t="s">
        <v>779</v>
      </c>
      <c r="C1132" s="34">
        <v>44459</v>
      </c>
      <c r="D1132" s="14">
        <v>1758.396</v>
      </c>
    </row>
    <row r="1133" spans="1:4" x14ac:dyDescent="0.25">
      <c r="A1133" t="s">
        <v>216</v>
      </c>
      <c r="B1133" t="s">
        <v>217</v>
      </c>
      <c r="C1133" s="34">
        <v>44460</v>
      </c>
      <c r="D1133" s="14">
        <v>4546.3860000000004</v>
      </c>
    </row>
    <row r="1134" spans="1:4" x14ac:dyDescent="0.25">
      <c r="A1134" t="s">
        <v>161</v>
      </c>
      <c r="B1134" t="s">
        <v>162</v>
      </c>
      <c r="C1134" s="34">
        <v>44461</v>
      </c>
      <c r="D1134" s="14">
        <v>5720</v>
      </c>
    </row>
    <row r="1135" spans="1:4" x14ac:dyDescent="0.25">
      <c r="A1135" t="s">
        <v>159</v>
      </c>
      <c r="B1135" t="s">
        <v>160</v>
      </c>
      <c r="C1135" s="34">
        <v>44461</v>
      </c>
      <c r="D1135" s="14">
        <v>1300</v>
      </c>
    </row>
    <row r="1136" spans="1:4" x14ac:dyDescent="0.25">
      <c r="A1136" t="s">
        <v>218</v>
      </c>
      <c r="B1136" t="s">
        <v>219</v>
      </c>
      <c r="C1136" s="34">
        <v>44461</v>
      </c>
      <c r="D1136" s="14">
        <v>1500</v>
      </c>
    </row>
    <row r="1137" spans="1:4" x14ac:dyDescent="0.25">
      <c r="A1137" t="s">
        <v>144</v>
      </c>
      <c r="B1137" t="s">
        <v>145</v>
      </c>
      <c r="C1137" s="34">
        <v>44462</v>
      </c>
      <c r="D1137" s="14">
        <v>1111.8620000000001</v>
      </c>
    </row>
    <row r="1138" spans="1:4" x14ac:dyDescent="0.25">
      <c r="A1138" t="s">
        <v>353</v>
      </c>
      <c r="B1138" t="s">
        <v>164</v>
      </c>
      <c r="C1138" s="34">
        <v>44463</v>
      </c>
      <c r="D1138" s="14">
        <v>908</v>
      </c>
    </row>
    <row r="1139" spans="1:4" x14ac:dyDescent="0.25">
      <c r="A1139" t="s">
        <v>172</v>
      </c>
      <c r="B1139" t="s">
        <v>173</v>
      </c>
      <c r="C1139" s="34">
        <v>44463</v>
      </c>
      <c r="D1139" s="14">
        <v>900</v>
      </c>
    </row>
    <row r="1140" spans="1:4" x14ac:dyDescent="0.25">
      <c r="A1140" t="s">
        <v>448</v>
      </c>
      <c r="B1140" t="s">
        <v>447</v>
      </c>
      <c r="C1140" s="34">
        <v>44464</v>
      </c>
      <c r="D1140" s="14">
        <v>782.34400000000005</v>
      </c>
    </row>
    <row r="1141" spans="1:4" x14ac:dyDescent="0.25">
      <c r="A1141" t="s">
        <v>315</v>
      </c>
      <c r="B1141" t="s">
        <v>245</v>
      </c>
      <c r="C1141" s="34">
        <v>44464</v>
      </c>
      <c r="D1141" s="14">
        <v>6642.61</v>
      </c>
    </row>
    <row r="1142" spans="1:4" x14ac:dyDescent="0.25">
      <c r="A1142" t="s">
        <v>374</v>
      </c>
      <c r="B1142" t="s">
        <v>360</v>
      </c>
      <c r="C1142" s="34">
        <v>44464</v>
      </c>
      <c r="D1142" s="14">
        <v>835.923</v>
      </c>
    </row>
    <row r="1143" spans="1:4" x14ac:dyDescent="0.25">
      <c r="A1143" t="s">
        <v>353</v>
      </c>
      <c r="B1143" t="s">
        <v>164</v>
      </c>
      <c r="C1143" s="34">
        <v>44465</v>
      </c>
      <c r="D1143" s="14">
        <v>910</v>
      </c>
    </row>
    <row r="1144" spans="1:4" x14ac:dyDescent="0.25">
      <c r="A1144" t="s">
        <v>1225</v>
      </c>
      <c r="B1144" t="s">
        <v>244</v>
      </c>
      <c r="C1144" s="34">
        <v>44465</v>
      </c>
      <c r="D1144" s="14">
        <v>5905.4690000000001</v>
      </c>
    </row>
    <row r="1145" spans="1:4" x14ac:dyDescent="0.25">
      <c r="A1145" t="s">
        <v>363</v>
      </c>
      <c r="B1145" t="s">
        <v>365</v>
      </c>
      <c r="C1145" s="34">
        <v>44465</v>
      </c>
      <c r="D1145" s="14">
        <v>1877</v>
      </c>
    </row>
    <row r="1146" spans="1:4" x14ac:dyDescent="0.25">
      <c r="A1146" t="s">
        <v>793</v>
      </c>
      <c r="B1146" t="s">
        <v>792</v>
      </c>
      <c r="C1146" s="34">
        <v>44465</v>
      </c>
      <c r="D1146" s="14">
        <v>900</v>
      </c>
    </row>
    <row r="1147" spans="1:4" x14ac:dyDescent="0.25">
      <c r="A1147" t="s">
        <v>161</v>
      </c>
      <c r="B1147" t="s">
        <v>162</v>
      </c>
      <c r="C1147" s="34">
        <v>44466</v>
      </c>
      <c r="D1147" s="14">
        <v>5720</v>
      </c>
    </row>
    <row r="1148" spans="1:4" x14ac:dyDescent="0.25">
      <c r="A1148" t="s">
        <v>174</v>
      </c>
      <c r="B1148" t="s">
        <v>175</v>
      </c>
      <c r="C1148" s="34">
        <v>44466</v>
      </c>
      <c r="D1148" s="14">
        <v>12141.851000000001</v>
      </c>
    </row>
    <row r="1149" spans="1:4" x14ac:dyDescent="0.25">
      <c r="A1149" t="s">
        <v>159</v>
      </c>
      <c r="B1149" t="s">
        <v>160</v>
      </c>
      <c r="C1149" s="34">
        <v>44467</v>
      </c>
      <c r="D1149" s="14">
        <v>1284.5229999999999</v>
      </c>
    </row>
    <row r="1150" spans="1:4" x14ac:dyDescent="0.25">
      <c r="A1150" t="s">
        <v>218</v>
      </c>
      <c r="B1150" t="s">
        <v>219</v>
      </c>
      <c r="C1150" s="34">
        <v>44467</v>
      </c>
      <c r="D1150" s="14">
        <v>1500</v>
      </c>
    </row>
    <row r="1151" spans="1:4" x14ac:dyDescent="0.25">
      <c r="A1151" t="s">
        <v>374</v>
      </c>
      <c r="B1151" t="s">
        <v>360</v>
      </c>
      <c r="C1151" s="34">
        <v>44467</v>
      </c>
      <c r="D1151" s="14">
        <v>850</v>
      </c>
    </row>
    <row r="1152" spans="1:4" x14ac:dyDescent="0.25">
      <c r="A1152" t="s">
        <v>353</v>
      </c>
      <c r="B1152" t="s">
        <v>164</v>
      </c>
      <c r="C1152" s="34">
        <v>44468</v>
      </c>
      <c r="D1152" s="14">
        <v>907</v>
      </c>
    </row>
    <row r="1153" spans="1:4" x14ac:dyDescent="0.25">
      <c r="A1153" t="s">
        <v>353</v>
      </c>
      <c r="B1153" t="s">
        <v>164</v>
      </c>
      <c r="C1153" s="34">
        <v>44469</v>
      </c>
      <c r="D1153" s="14">
        <v>906</v>
      </c>
    </row>
    <row r="1154" spans="1:4" x14ac:dyDescent="0.25">
      <c r="A1154" t="s">
        <v>431</v>
      </c>
      <c r="B1154" t="s">
        <v>337</v>
      </c>
      <c r="C1154" s="34">
        <v>44469</v>
      </c>
      <c r="D1154" s="14">
        <v>7142.7280000000001</v>
      </c>
    </row>
    <row r="1155" spans="1:4" x14ac:dyDescent="0.25">
      <c r="A1155" t="s">
        <v>144</v>
      </c>
      <c r="B1155" t="s">
        <v>145</v>
      </c>
      <c r="C1155" s="34">
        <v>44469</v>
      </c>
      <c r="D1155" s="14">
        <v>1111.8620000000001</v>
      </c>
    </row>
    <row r="1156" spans="1:4" x14ac:dyDescent="0.25">
      <c r="A1156" t="s">
        <v>211</v>
      </c>
      <c r="B1156" t="s">
        <v>212</v>
      </c>
      <c r="C1156" s="34">
        <v>44469</v>
      </c>
      <c r="D1156" s="14">
        <v>1105.4449999999999</v>
      </c>
    </row>
    <row r="1157" spans="1:4" x14ac:dyDescent="0.25">
      <c r="A1157" t="s">
        <v>166</v>
      </c>
      <c r="B1157" t="s">
        <v>167</v>
      </c>
      <c r="C1157" s="34">
        <v>44469</v>
      </c>
      <c r="D1157" s="14">
        <v>5313.4139999999998</v>
      </c>
    </row>
    <row r="1158" spans="1:4" x14ac:dyDescent="0.25">
      <c r="A1158" t="s">
        <v>216</v>
      </c>
      <c r="B1158" t="s">
        <v>217</v>
      </c>
      <c r="C1158" s="34">
        <v>44469</v>
      </c>
      <c r="D1158" s="14">
        <v>3500</v>
      </c>
    </row>
    <row r="1159" spans="1:4" x14ac:dyDescent="0.25">
      <c r="A1159" t="s">
        <v>172</v>
      </c>
      <c r="B1159" t="s">
        <v>173</v>
      </c>
      <c r="C1159" s="34">
        <v>44469</v>
      </c>
      <c r="D1159" s="14">
        <v>900</v>
      </c>
    </row>
    <row r="1160" spans="1:4" x14ac:dyDescent="0.25">
      <c r="A1160" t="s">
        <v>161</v>
      </c>
      <c r="B1160" t="s">
        <v>162</v>
      </c>
      <c r="C1160" s="34">
        <v>44469</v>
      </c>
      <c r="D1160" s="14">
        <v>5739.5330000000004</v>
      </c>
    </row>
    <row r="1161" spans="1:4" x14ac:dyDescent="0.25">
      <c r="A1161" t="s">
        <v>793</v>
      </c>
      <c r="B1161" t="s">
        <v>792</v>
      </c>
      <c r="C1161" s="34">
        <v>44469</v>
      </c>
      <c r="D1161" s="14">
        <v>1529.3140000000001</v>
      </c>
    </row>
    <row r="1162" spans="1:4" ht="15.75" thickBot="1" x14ac:dyDescent="0.3">
      <c r="A1162" t="s">
        <v>577</v>
      </c>
      <c r="B1162" t="s">
        <v>576</v>
      </c>
      <c r="C1162" s="34">
        <v>44469</v>
      </c>
      <c r="D1162" s="14">
        <v>3000</v>
      </c>
    </row>
    <row r="1163" spans="1:4" ht="15.75" thickBot="1" x14ac:dyDescent="0.3">
      <c r="A1163" s="695" t="s">
        <v>971</v>
      </c>
      <c r="B1163" s="696"/>
      <c r="C1163" s="696"/>
      <c r="D1163" s="314">
        <f>SUM(D1079:D1162)</f>
        <v>215763.97900000002</v>
      </c>
    </row>
    <row r="1164" spans="1:4" x14ac:dyDescent="0.25">
      <c r="A1164" t="s">
        <v>793</v>
      </c>
      <c r="B1164" t="s">
        <v>792</v>
      </c>
      <c r="C1164" s="34">
        <v>44474</v>
      </c>
      <c r="D1164" s="14">
        <v>938.75400000000002</v>
      </c>
    </row>
    <row r="1165" spans="1:4" x14ac:dyDescent="0.25">
      <c r="A1165" t="s">
        <v>246</v>
      </c>
      <c r="B1165" t="s">
        <v>247</v>
      </c>
      <c r="C1165" s="34">
        <v>44479</v>
      </c>
      <c r="D1165" s="14">
        <v>6718.4679999999998</v>
      </c>
    </row>
    <row r="1166" spans="1:4" x14ac:dyDescent="0.25">
      <c r="A1166" t="s">
        <v>261</v>
      </c>
      <c r="B1166" t="s">
        <v>262</v>
      </c>
      <c r="C1166" s="34">
        <v>44479</v>
      </c>
      <c r="D1166" s="14">
        <v>12014.543</v>
      </c>
    </row>
    <row r="1167" spans="1:4" x14ac:dyDescent="0.25">
      <c r="A1167" t="s">
        <v>216</v>
      </c>
      <c r="B1167" t="s">
        <v>217</v>
      </c>
      <c r="C1167" s="34">
        <v>44480</v>
      </c>
      <c r="D1167" s="14">
        <v>3500</v>
      </c>
    </row>
    <row r="1168" spans="1:4" x14ac:dyDescent="0.25">
      <c r="A1168" t="s">
        <v>353</v>
      </c>
      <c r="B1168" t="s">
        <v>164</v>
      </c>
      <c r="C1168" s="34">
        <v>44481</v>
      </c>
      <c r="D1168" s="14">
        <v>905</v>
      </c>
    </row>
    <row r="1169" spans="1:4" x14ac:dyDescent="0.25">
      <c r="A1169" t="s">
        <v>793</v>
      </c>
      <c r="B1169" t="s">
        <v>792</v>
      </c>
      <c r="C1169" s="34">
        <v>44481</v>
      </c>
      <c r="D1169" s="14">
        <v>1000</v>
      </c>
    </row>
    <row r="1170" spans="1:4" x14ac:dyDescent="0.25">
      <c r="A1170" t="s">
        <v>353</v>
      </c>
      <c r="B1170" t="s">
        <v>164</v>
      </c>
      <c r="C1170" s="34">
        <v>44483</v>
      </c>
      <c r="D1170" s="14">
        <v>904</v>
      </c>
    </row>
    <row r="1171" spans="1:4" x14ac:dyDescent="0.25">
      <c r="A1171" t="s">
        <v>431</v>
      </c>
      <c r="B1171" t="s">
        <v>337</v>
      </c>
      <c r="C1171" s="34">
        <v>44483</v>
      </c>
      <c r="D1171" s="14">
        <v>7142.7280000000001</v>
      </c>
    </row>
    <row r="1172" spans="1:4" x14ac:dyDescent="0.25">
      <c r="A1172" t="s">
        <v>319</v>
      </c>
      <c r="B1172" t="s">
        <v>130</v>
      </c>
      <c r="C1172" s="34">
        <v>44484</v>
      </c>
      <c r="D1172" s="14">
        <v>8000</v>
      </c>
    </row>
    <row r="1173" spans="1:4" x14ac:dyDescent="0.25">
      <c r="A1173" t="s">
        <v>246</v>
      </c>
      <c r="B1173" t="s">
        <v>247</v>
      </c>
      <c r="C1173" s="34">
        <v>44484</v>
      </c>
      <c r="D1173" s="14">
        <v>3446.2310000000002</v>
      </c>
    </row>
    <row r="1174" spans="1:4" x14ac:dyDescent="0.25">
      <c r="A1174" t="s">
        <v>353</v>
      </c>
      <c r="B1174" t="s">
        <v>164</v>
      </c>
      <c r="C1174" s="34">
        <v>44485</v>
      </c>
      <c r="D1174" s="14">
        <v>817.89599999999996</v>
      </c>
    </row>
    <row r="1175" spans="1:4" x14ac:dyDescent="0.25">
      <c r="A1175" t="s">
        <v>793</v>
      </c>
      <c r="B1175" t="s">
        <v>792</v>
      </c>
      <c r="C1175" s="34">
        <v>44488</v>
      </c>
      <c r="D1175" s="14">
        <v>1014.338</v>
      </c>
    </row>
    <row r="1176" spans="1:4" x14ac:dyDescent="0.25">
      <c r="A1176" t="s">
        <v>216</v>
      </c>
      <c r="B1176" t="s">
        <v>217</v>
      </c>
      <c r="C1176" s="34">
        <v>44489</v>
      </c>
      <c r="D1176" s="14">
        <v>3500</v>
      </c>
    </row>
    <row r="1177" spans="1:4" x14ac:dyDescent="0.25">
      <c r="A1177" t="s">
        <v>793</v>
      </c>
      <c r="B1177" t="s">
        <v>792</v>
      </c>
      <c r="C1177" s="34">
        <v>44496</v>
      </c>
      <c r="D1177" s="14">
        <v>978</v>
      </c>
    </row>
    <row r="1178" spans="1:4" x14ac:dyDescent="0.25">
      <c r="A1178" t="s">
        <v>174</v>
      </c>
      <c r="B1178" t="s">
        <v>175</v>
      </c>
      <c r="C1178" s="34">
        <v>44496</v>
      </c>
      <c r="D1178" s="14">
        <v>11128.938</v>
      </c>
    </row>
    <row r="1179" spans="1:4" x14ac:dyDescent="0.25">
      <c r="A1179" t="s">
        <v>216</v>
      </c>
      <c r="B1179" t="s">
        <v>217</v>
      </c>
      <c r="C1179" s="34">
        <v>44498</v>
      </c>
      <c r="D1179" s="14">
        <v>3500</v>
      </c>
    </row>
    <row r="1180" spans="1:4" x14ac:dyDescent="0.25">
      <c r="A1180" t="s">
        <v>793</v>
      </c>
      <c r="B1180" t="s">
        <v>792</v>
      </c>
      <c r="C1180" s="34">
        <v>44498</v>
      </c>
      <c r="D1180" s="14">
        <v>978.35199999999998</v>
      </c>
    </row>
    <row r="1181" spans="1:4" ht="15.75" thickBot="1" x14ac:dyDescent="0.3">
      <c r="A1181" t="s">
        <v>319</v>
      </c>
      <c r="B1181" t="s">
        <v>130</v>
      </c>
      <c r="C1181" s="34">
        <v>44499</v>
      </c>
      <c r="D1181" s="14">
        <v>8263.0750000000007</v>
      </c>
    </row>
    <row r="1182" spans="1:4" ht="15.75" thickBot="1" x14ac:dyDescent="0.3">
      <c r="A1182" s="695" t="s">
        <v>1179</v>
      </c>
      <c r="B1182" s="696"/>
      <c r="C1182" s="696"/>
      <c r="D1182" s="314">
        <f>SUM(D1164:D1181)</f>
        <v>74750.323000000004</v>
      </c>
    </row>
    <row r="1183" spans="1:4" ht="15.75" thickBot="1" x14ac:dyDescent="0.3">
      <c r="A1183" t="s">
        <v>216</v>
      </c>
      <c r="B1183" t="s">
        <v>217</v>
      </c>
      <c r="C1183" s="34">
        <v>44505</v>
      </c>
      <c r="D1183" s="14">
        <v>2963.8290000000002</v>
      </c>
    </row>
    <row r="1184" spans="1:4" ht="15.75" thickBot="1" x14ac:dyDescent="0.3">
      <c r="A1184" s="695" t="s">
        <v>1375</v>
      </c>
      <c r="B1184" s="696"/>
      <c r="C1184" s="696"/>
      <c r="D1184" s="314">
        <f>SUM(D1183)</f>
        <v>2963.8290000000002</v>
      </c>
    </row>
    <row r="1185" spans="1:4" ht="15.75" thickBot="1" x14ac:dyDescent="0.3">
      <c r="A1185" s="315"/>
      <c r="B1185" s="315"/>
      <c r="C1185" s="315"/>
      <c r="D1185" s="322"/>
    </row>
    <row r="1186" spans="1:4" ht="15.75" thickBot="1" x14ac:dyDescent="0.3">
      <c r="A1186" s="693" t="s">
        <v>388</v>
      </c>
      <c r="B1186" s="694"/>
      <c r="C1186" s="694"/>
      <c r="D1186" s="313">
        <f>D459+D856+D1078+D1163+D1182+D1184</f>
        <v>2641057.3619999993</v>
      </c>
    </row>
  </sheetData>
  <mergeCells count="7">
    <mergeCell ref="A1186:C1186"/>
    <mergeCell ref="A459:C459"/>
    <mergeCell ref="A856:C856"/>
    <mergeCell ref="A1078:C1078"/>
    <mergeCell ref="A1163:C1163"/>
    <mergeCell ref="A1182:C1182"/>
    <mergeCell ref="A1184:C1184"/>
  </mergeCells>
  <pageMargins left="0.7" right="0.7" top="0.75" bottom="0.75" header="0.3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I288"/>
  <sheetViews>
    <sheetView topLeftCell="A19" workbookViewId="0">
      <selection activeCell="D4" sqref="D4:D52"/>
    </sheetView>
  </sheetViews>
  <sheetFormatPr baseColWidth="10" defaultRowHeight="15" x14ac:dyDescent="0.25"/>
  <cols>
    <col min="1" max="1" width="9.28515625" bestFit="1" customWidth="1"/>
    <col min="2" max="2" width="31.28515625" bestFit="1" customWidth="1"/>
    <col min="3" max="3" width="10.7109375" bestFit="1" customWidth="1"/>
    <col min="4" max="4" width="13.85546875" style="14" bestFit="1" customWidth="1"/>
  </cols>
  <sheetData>
    <row r="1" spans="1:9" s="226" customFormat="1" ht="15.75" thickBot="1" x14ac:dyDescent="0.3">
      <c r="A1" s="223" t="s">
        <v>118</v>
      </c>
      <c r="B1" s="224" t="s">
        <v>119</v>
      </c>
      <c r="C1" s="224" t="s">
        <v>249</v>
      </c>
      <c r="D1" s="225" t="s">
        <v>11</v>
      </c>
    </row>
    <row r="2" spans="1:9" x14ac:dyDescent="0.25">
      <c r="A2" t="s">
        <v>1414</v>
      </c>
      <c r="B2" t="s">
        <v>1413</v>
      </c>
      <c r="C2" s="34">
        <v>44347</v>
      </c>
      <c r="D2" s="14">
        <v>922.88599999999997</v>
      </c>
    </row>
    <row r="3" spans="1:9" x14ac:dyDescent="0.25">
      <c r="A3" t="s">
        <v>1412</v>
      </c>
      <c r="B3" t="s">
        <v>1411</v>
      </c>
      <c r="C3" s="34">
        <v>44363</v>
      </c>
      <c r="D3" s="14">
        <v>3902.8069999999998</v>
      </c>
    </row>
    <row r="4" spans="1:9" x14ac:dyDescent="0.25">
      <c r="A4" t="s">
        <v>1300</v>
      </c>
      <c r="B4" t="s">
        <v>1299</v>
      </c>
      <c r="C4" s="34">
        <v>44392</v>
      </c>
      <c r="D4" s="14">
        <v>637</v>
      </c>
    </row>
    <row r="5" spans="1:9" x14ac:dyDescent="0.25">
      <c r="A5" t="s">
        <v>1410</v>
      </c>
      <c r="B5" t="s">
        <v>1409</v>
      </c>
      <c r="C5" s="34">
        <v>44392</v>
      </c>
      <c r="D5" s="14">
        <v>1728.16</v>
      </c>
    </row>
    <row r="6" spans="1:9" x14ac:dyDescent="0.25">
      <c r="A6" t="s">
        <v>1408</v>
      </c>
      <c r="B6" t="s">
        <v>1407</v>
      </c>
      <c r="C6" s="34">
        <v>44392</v>
      </c>
      <c r="D6" s="14">
        <v>1898.23</v>
      </c>
    </row>
    <row r="7" spans="1:9" x14ac:dyDescent="0.25">
      <c r="A7" t="s">
        <v>1406</v>
      </c>
      <c r="B7" t="s">
        <v>1072</v>
      </c>
      <c r="C7" s="34">
        <v>44405</v>
      </c>
      <c r="D7" s="14">
        <v>3247.7350000000001</v>
      </c>
      <c r="I7" s="643">
        <v>44354</v>
      </c>
    </row>
    <row r="8" spans="1:9" x14ac:dyDescent="0.25">
      <c r="A8" t="s">
        <v>1405</v>
      </c>
      <c r="B8" t="s">
        <v>1404</v>
      </c>
      <c r="C8" s="34">
        <v>44407</v>
      </c>
      <c r="D8" s="14">
        <v>2958.8040000000001</v>
      </c>
      <c r="I8" s="643">
        <f>I7-4</f>
        <v>44350</v>
      </c>
    </row>
    <row r="9" spans="1:9" x14ac:dyDescent="0.25">
      <c r="A9" t="s">
        <v>1403</v>
      </c>
      <c r="B9" t="s">
        <v>1402</v>
      </c>
      <c r="C9" s="34">
        <v>44407</v>
      </c>
      <c r="D9" s="14">
        <v>3237.136</v>
      </c>
      <c r="I9" s="643">
        <f>I8+90</f>
        <v>44440</v>
      </c>
    </row>
    <row r="10" spans="1:9" x14ac:dyDescent="0.25">
      <c r="A10" t="s">
        <v>1401</v>
      </c>
      <c r="B10" t="s">
        <v>1400</v>
      </c>
      <c r="C10" s="34">
        <v>44407</v>
      </c>
      <c r="D10" s="14">
        <v>992.49599999999998</v>
      </c>
    </row>
    <row r="11" spans="1:9" x14ac:dyDescent="0.25">
      <c r="A11" t="s">
        <v>1300</v>
      </c>
      <c r="B11" t="s">
        <v>1299</v>
      </c>
      <c r="C11" s="34">
        <v>44408</v>
      </c>
      <c r="D11" s="14">
        <v>638.91700000000003</v>
      </c>
    </row>
    <row r="12" spans="1:9" x14ac:dyDescent="0.25">
      <c r="A12" t="s">
        <v>1399</v>
      </c>
      <c r="B12" t="s">
        <v>1398</v>
      </c>
      <c r="C12" s="34">
        <v>44408</v>
      </c>
      <c r="D12" s="14">
        <v>18470.530999999999</v>
      </c>
    </row>
    <row r="13" spans="1:9" x14ac:dyDescent="0.25">
      <c r="A13" t="s">
        <v>1397</v>
      </c>
      <c r="B13" t="s">
        <v>1396</v>
      </c>
      <c r="C13" s="34">
        <v>44408</v>
      </c>
      <c r="D13" s="14">
        <v>6028.22</v>
      </c>
    </row>
    <row r="14" spans="1:9" x14ac:dyDescent="0.25">
      <c r="A14" t="s">
        <v>1395</v>
      </c>
      <c r="B14" t="s">
        <v>1394</v>
      </c>
      <c r="C14" s="34">
        <v>44408</v>
      </c>
      <c r="D14" s="14">
        <v>4503.098</v>
      </c>
    </row>
    <row r="15" spans="1:9" x14ac:dyDescent="0.25">
      <c r="A15" t="s">
        <v>1393</v>
      </c>
      <c r="B15" t="s">
        <v>1392</v>
      </c>
      <c r="C15" s="34">
        <v>44413</v>
      </c>
      <c r="D15" s="14">
        <v>2026.9680000000001</v>
      </c>
    </row>
    <row r="16" spans="1:9" x14ac:dyDescent="0.25">
      <c r="A16" t="s">
        <v>1389</v>
      </c>
      <c r="B16" t="s">
        <v>1388</v>
      </c>
      <c r="C16" s="34">
        <v>44413</v>
      </c>
      <c r="D16" s="14">
        <v>2565</v>
      </c>
    </row>
    <row r="17" spans="1:4" x14ac:dyDescent="0.25">
      <c r="A17" t="s">
        <v>1391</v>
      </c>
      <c r="B17" t="s">
        <v>1390</v>
      </c>
      <c r="C17" s="34">
        <v>44414</v>
      </c>
      <c r="D17" s="14">
        <v>339.572</v>
      </c>
    </row>
    <row r="18" spans="1:4" x14ac:dyDescent="0.25">
      <c r="A18" t="s">
        <v>1389</v>
      </c>
      <c r="B18" t="s">
        <v>1388</v>
      </c>
      <c r="C18" s="34">
        <v>44423</v>
      </c>
      <c r="D18" s="14">
        <v>2571.0210000000002</v>
      </c>
    </row>
    <row r="19" spans="1:4" x14ac:dyDescent="0.25">
      <c r="A19" t="s">
        <v>1387</v>
      </c>
      <c r="B19" t="s">
        <v>1386</v>
      </c>
      <c r="C19" s="34">
        <v>44425</v>
      </c>
      <c r="D19" s="14">
        <v>1836.739</v>
      </c>
    </row>
    <row r="20" spans="1:4" x14ac:dyDescent="0.25">
      <c r="A20" t="s">
        <v>1269</v>
      </c>
      <c r="B20" t="s">
        <v>1268</v>
      </c>
      <c r="C20" s="34">
        <v>44428</v>
      </c>
      <c r="D20" s="14">
        <v>2940.779</v>
      </c>
    </row>
    <row r="21" spans="1:4" x14ac:dyDescent="0.25">
      <c r="A21" t="s">
        <v>1383</v>
      </c>
      <c r="B21" t="s">
        <v>1382</v>
      </c>
      <c r="C21" s="34">
        <v>44429</v>
      </c>
      <c r="D21" s="14">
        <v>2250</v>
      </c>
    </row>
    <row r="22" spans="1:4" x14ac:dyDescent="0.25">
      <c r="A22" t="s">
        <v>753</v>
      </c>
      <c r="B22" t="s">
        <v>752</v>
      </c>
      <c r="C22" s="34">
        <v>44438</v>
      </c>
      <c r="D22" s="14">
        <v>2500</v>
      </c>
    </row>
    <row r="23" spans="1:4" x14ac:dyDescent="0.25">
      <c r="A23" t="s">
        <v>1199</v>
      </c>
      <c r="B23" t="s">
        <v>1198</v>
      </c>
      <c r="C23" s="34">
        <v>44438</v>
      </c>
      <c r="D23" s="14">
        <v>5119.3370000000004</v>
      </c>
    </row>
    <row r="24" spans="1:4" x14ac:dyDescent="0.25">
      <c r="A24" t="s">
        <v>1197</v>
      </c>
      <c r="B24" t="s">
        <v>1196</v>
      </c>
      <c r="C24" s="34">
        <v>44438</v>
      </c>
      <c r="D24" s="14">
        <v>4123.8940000000002</v>
      </c>
    </row>
    <row r="25" spans="1:4" x14ac:dyDescent="0.25">
      <c r="A25" t="s">
        <v>799</v>
      </c>
      <c r="B25" t="s">
        <v>798</v>
      </c>
      <c r="C25" s="34">
        <v>44438</v>
      </c>
      <c r="D25" s="14">
        <v>5190.6080000000002</v>
      </c>
    </row>
    <row r="26" spans="1:4" x14ac:dyDescent="0.25">
      <c r="A26" t="s">
        <v>138</v>
      </c>
      <c r="B26" t="s">
        <v>139</v>
      </c>
      <c r="C26" s="34">
        <v>44438</v>
      </c>
      <c r="D26" s="14">
        <v>1741.4490000000001</v>
      </c>
    </row>
    <row r="27" spans="1:4" x14ac:dyDescent="0.25">
      <c r="A27" t="s">
        <v>1300</v>
      </c>
      <c r="B27" t="s">
        <v>1299</v>
      </c>
      <c r="C27" s="34">
        <v>44439</v>
      </c>
      <c r="D27" s="14">
        <v>947.99400000000003</v>
      </c>
    </row>
    <row r="28" spans="1:4" x14ac:dyDescent="0.25">
      <c r="A28" t="s">
        <v>457</v>
      </c>
      <c r="B28" t="s">
        <v>456</v>
      </c>
      <c r="C28" s="34">
        <v>44439</v>
      </c>
      <c r="D28" s="14">
        <v>5975.3289999999997</v>
      </c>
    </row>
    <row r="29" spans="1:4" x14ac:dyDescent="0.25">
      <c r="A29" t="s">
        <v>1195</v>
      </c>
      <c r="B29" t="s">
        <v>1194</v>
      </c>
      <c r="C29" s="34">
        <v>44439</v>
      </c>
      <c r="D29" s="14">
        <v>1894.2639999999999</v>
      </c>
    </row>
    <row r="30" spans="1:4" x14ac:dyDescent="0.25">
      <c r="A30" t="s">
        <v>499</v>
      </c>
      <c r="B30" t="s">
        <v>449</v>
      </c>
      <c r="C30" s="34">
        <v>44439</v>
      </c>
      <c r="D30" s="14">
        <v>1955</v>
      </c>
    </row>
    <row r="31" spans="1:4" x14ac:dyDescent="0.25">
      <c r="A31" t="s">
        <v>224</v>
      </c>
      <c r="B31" t="s">
        <v>133</v>
      </c>
      <c r="C31" s="34">
        <v>44439</v>
      </c>
      <c r="D31" s="14">
        <v>1892.962</v>
      </c>
    </row>
    <row r="32" spans="1:4" x14ac:dyDescent="0.25">
      <c r="A32" t="s">
        <v>1191</v>
      </c>
      <c r="B32" t="s">
        <v>1190</v>
      </c>
      <c r="C32" s="34">
        <v>44439</v>
      </c>
      <c r="D32" s="14">
        <v>2700.6529999999998</v>
      </c>
    </row>
    <row r="33" spans="1:4" x14ac:dyDescent="0.25">
      <c r="A33" t="s">
        <v>250</v>
      </c>
      <c r="B33" t="s">
        <v>251</v>
      </c>
      <c r="C33" s="34">
        <v>44439</v>
      </c>
      <c r="D33" s="14">
        <v>21691.094000000001</v>
      </c>
    </row>
    <row r="34" spans="1:4" x14ac:dyDescent="0.25">
      <c r="A34" t="s">
        <v>515</v>
      </c>
      <c r="B34" t="s">
        <v>514</v>
      </c>
      <c r="C34" s="34">
        <v>44439</v>
      </c>
      <c r="D34" s="14">
        <v>2252.9749999999999</v>
      </c>
    </row>
    <row r="35" spans="1:4" x14ac:dyDescent="0.25">
      <c r="A35" t="s">
        <v>1294</v>
      </c>
      <c r="B35" t="s">
        <v>1293</v>
      </c>
      <c r="C35" s="34">
        <v>44439</v>
      </c>
      <c r="D35" s="14">
        <v>852.99699999999996</v>
      </c>
    </row>
    <row r="36" spans="1:4" x14ac:dyDescent="0.25">
      <c r="A36" t="s">
        <v>1193</v>
      </c>
      <c r="B36" t="s">
        <v>1192</v>
      </c>
      <c r="C36" s="34">
        <v>44439</v>
      </c>
      <c r="D36" s="14">
        <v>2988.9340000000002</v>
      </c>
    </row>
    <row r="37" spans="1:4" x14ac:dyDescent="0.25">
      <c r="A37" t="s">
        <v>1298</v>
      </c>
      <c r="B37" t="s">
        <v>1297</v>
      </c>
      <c r="C37" s="34">
        <v>44439</v>
      </c>
      <c r="D37" s="14">
        <v>3682.7460000000001</v>
      </c>
    </row>
    <row r="38" spans="1:4" x14ac:dyDescent="0.25">
      <c r="A38" t="s">
        <v>993</v>
      </c>
      <c r="B38" t="s">
        <v>992</v>
      </c>
      <c r="C38" s="34">
        <v>44439</v>
      </c>
      <c r="D38" s="14">
        <v>3356.5039999999999</v>
      </c>
    </row>
    <row r="39" spans="1:4" x14ac:dyDescent="0.25">
      <c r="A39" t="s">
        <v>1187</v>
      </c>
      <c r="B39" t="s">
        <v>1186</v>
      </c>
      <c r="C39" s="34">
        <v>44439</v>
      </c>
      <c r="D39" s="14">
        <v>2215.482</v>
      </c>
    </row>
    <row r="40" spans="1:4" x14ac:dyDescent="0.25">
      <c r="A40" t="s">
        <v>1296</v>
      </c>
      <c r="B40" t="s">
        <v>1295</v>
      </c>
      <c r="C40" s="34">
        <v>44439</v>
      </c>
      <c r="D40" s="14">
        <v>3109.3649999999998</v>
      </c>
    </row>
    <row r="41" spans="1:4" x14ac:dyDescent="0.25">
      <c r="A41" t="s">
        <v>1292</v>
      </c>
      <c r="B41" t="s">
        <v>1291</v>
      </c>
      <c r="C41" s="34">
        <v>44439</v>
      </c>
      <c r="D41" s="14">
        <v>682.29200000000003</v>
      </c>
    </row>
    <row r="42" spans="1:4" x14ac:dyDescent="0.25">
      <c r="A42" t="s">
        <v>1189</v>
      </c>
      <c r="B42" t="s">
        <v>1188</v>
      </c>
      <c r="C42" s="34">
        <v>44439</v>
      </c>
      <c r="D42" s="14">
        <v>1754.932</v>
      </c>
    </row>
    <row r="43" spans="1:4" x14ac:dyDescent="0.25">
      <c r="A43" t="s">
        <v>1183</v>
      </c>
      <c r="B43" t="s">
        <v>1182</v>
      </c>
      <c r="C43" s="34">
        <v>44439</v>
      </c>
      <c r="D43" s="14">
        <v>2500</v>
      </c>
    </row>
    <row r="44" spans="1:4" x14ac:dyDescent="0.25">
      <c r="A44" t="s">
        <v>543</v>
      </c>
      <c r="B44" t="s">
        <v>542</v>
      </c>
      <c r="C44" s="34">
        <v>44439</v>
      </c>
      <c r="D44" s="14">
        <v>19837.811000000002</v>
      </c>
    </row>
    <row r="45" spans="1:4" x14ac:dyDescent="0.25">
      <c r="A45" t="s">
        <v>1185</v>
      </c>
      <c r="B45" t="s">
        <v>1184</v>
      </c>
      <c r="C45" s="34">
        <v>44439</v>
      </c>
      <c r="D45" s="14">
        <v>891.64</v>
      </c>
    </row>
    <row r="46" spans="1:4" x14ac:dyDescent="0.25">
      <c r="A46" t="s">
        <v>1263</v>
      </c>
      <c r="B46" t="s">
        <v>1262</v>
      </c>
      <c r="C46" s="34">
        <v>44439</v>
      </c>
      <c r="D46" s="14">
        <v>2808.7739999999999</v>
      </c>
    </row>
    <row r="47" spans="1:4" x14ac:dyDescent="0.25">
      <c r="A47" t="s">
        <v>1267</v>
      </c>
      <c r="B47" t="s">
        <v>1266</v>
      </c>
      <c r="C47" s="34">
        <v>44439</v>
      </c>
      <c r="D47" s="14">
        <v>793.14</v>
      </c>
    </row>
    <row r="48" spans="1:4" x14ac:dyDescent="0.25">
      <c r="A48" t="s">
        <v>1265</v>
      </c>
      <c r="B48" t="s">
        <v>1264</v>
      </c>
      <c r="C48" s="34">
        <v>44439</v>
      </c>
      <c r="D48" s="14">
        <v>3732.2860000000001</v>
      </c>
    </row>
    <row r="49" spans="1:4" x14ac:dyDescent="0.25">
      <c r="A49" t="s">
        <v>995</v>
      </c>
      <c r="B49" t="s">
        <v>994</v>
      </c>
      <c r="C49" s="34">
        <v>44439</v>
      </c>
      <c r="D49" s="14">
        <v>2001.5170000000001</v>
      </c>
    </row>
    <row r="50" spans="1:4" x14ac:dyDescent="0.25">
      <c r="A50" t="s">
        <v>1385</v>
      </c>
      <c r="B50" t="s">
        <v>1384</v>
      </c>
      <c r="C50" s="34">
        <v>44439</v>
      </c>
      <c r="D50" s="14">
        <v>12489.691999999999</v>
      </c>
    </row>
    <row r="51" spans="1:4" x14ac:dyDescent="0.25">
      <c r="A51" t="s">
        <v>1261</v>
      </c>
      <c r="B51" t="s">
        <v>1260</v>
      </c>
      <c r="C51" s="34">
        <v>44440</v>
      </c>
      <c r="D51" s="14">
        <v>2500.877</v>
      </c>
    </row>
    <row r="52" spans="1:4" x14ac:dyDescent="0.25">
      <c r="A52" t="s">
        <v>1383</v>
      </c>
      <c r="B52" t="s">
        <v>1382</v>
      </c>
      <c r="C52" s="34">
        <v>44440</v>
      </c>
      <c r="D52" s="14">
        <v>2292.5430000000001</v>
      </c>
    </row>
    <row r="53" spans="1:4" x14ac:dyDescent="0.25">
      <c r="A53" t="s">
        <v>1290</v>
      </c>
      <c r="B53" t="s">
        <v>1289</v>
      </c>
      <c r="C53" s="34">
        <v>44441</v>
      </c>
      <c r="D53" s="14">
        <v>923.26700000000005</v>
      </c>
    </row>
    <row r="54" spans="1:4" x14ac:dyDescent="0.25">
      <c r="A54" t="s">
        <v>1288</v>
      </c>
      <c r="B54" t="s">
        <v>1287</v>
      </c>
      <c r="C54" s="34">
        <v>44444</v>
      </c>
      <c r="D54" s="14">
        <v>189.959</v>
      </c>
    </row>
    <row r="55" spans="1:4" x14ac:dyDescent="0.25">
      <c r="A55" t="s">
        <v>889</v>
      </c>
      <c r="B55" t="s">
        <v>888</v>
      </c>
      <c r="C55" s="34">
        <v>44444</v>
      </c>
      <c r="D55" s="14">
        <v>2009.9970000000001</v>
      </c>
    </row>
    <row r="56" spans="1:4" x14ac:dyDescent="0.25">
      <c r="A56" t="s">
        <v>499</v>
      </c>
      <c r="B56" t="s">
        <v>449</v>
      </c>
      <c r="C56" s="34">
        <v>44444</v>
      </c>
      <c r="D56" s="14">
        <v>1969.944</v>
      </c>
    </row>
    <row r="57" spans="1:4" x14ac:dyDescent="0.25">
      <c r="A57" t="s">
        <v>1045</v>
      </c>
      <c r="B57" t="s">
        <v>1044</v>
      </c>
      <c r="C57" s="34">
        <v>44444</v>
      </c>
      <c r="D57" s="14">
        <v>2277.598</v>
      </c>
    </row>
    <row r="58" spans="1:4" x14ac:dyDescent="0.25">
      <c r="A58" t="s">
        <v>399</v>
      </c>
      <c r="B58" t="s">
        <v>398</v>
      </c>
      <c r="C58" s="34">
        <v>44444</v>
      </c>
      <c r="D58" s="14">
        <v>10606.367</v>
      </c>
    </row>
    <row r="59" spans="1:4" x14ac:dyDescent="0.25">
      <c r="A59" t="s">
        <v>634</v>
      </c>
      <c r="B59" t="s">
        <v>633</v>
      </c>
      <c r="C59" s="34">
        <v>44444</v>
      </c>
      <c r="D59" s="14">
        <v>3402.3870000000002</v>
      </c>
    </row>
    <row r="60" spans="1:4" x14ac:dyDescent="0.25">
      <c r="A60" t="s">
        <v>1043</v>
      </c>
      <c r="B60" t="s">
        <v>1042</v>
      </c>
      <c r="C60" s="34">
        <v>44444</v>
      </c>
      <c r="D60" s="14">
        <v>2071.105</v>
      </c>
    </row>
    <row r="61" spans="1:4" x14ac:dyDescent="0.25">
      <c r="A61" t="s">
        <v>543</v>
      </c>
      <c r="B61" t="s">
        <v>542</v>
      </c>
      <c r="C61" s="34">
        <v>44446</v>
      </c>
      <c r="D61" s="14">
        <v>20000</v>
      </c>
    </row>
    <row r="62" spans="1:4" x14ac:dyDescent="0.25">
      <c r="A62" t="s">
        <v>753</v>
      </c>
      <c r="B62" t="s">
        <v>752</v>
      </c>
      <c r="C62" s="34">
        <v>44449</v>
      </c>
      <c r="D62" s="14">
        <v>1750</v>
      </c>
    </row>
    <row r="63" spans="1:4" x14ac:dyDescent="0.25">
      <c r="A63" t="s">
        <v>1181</v>
      </c>
      <c r="B63" t="s">
        <v>1180</v>
      </c>
      <c r="C63" s="34">
        <v>44449</v>
      </c>
      <c r="D63" s="14">
        <v>3000</v>
      </c>
    </row>
    <row r="64" spans="1:4" x14ac:dyDescent="0.25">
      <c r="A64" t="s">
        <v>254</v>
      </c>
      <c r="B64" t="s">
        <v>255</v>
      </c>
      <c r="C64" s="34">
        <v>44449</v>
      </c>
      <c r="D64" s="14">
        <v>1500</v>
      </c>
    </row>
    <row r="65" spans="1:5" s="312" customFormat="1" x14ac:dyDescent="0.25">
      <c r="A65" t="s">
        <v>1261</v>
      </c>
      <c r="B65" t="s">
        <v>1260</v>
      </c>
      <c r="C65" s="34">
        <v>44449</v>
      </c>
      <c r="D65" s="14">
        <v>3454.433</v>
      </c>
      <c r="E65"/>
    </row>
    <row r="66" spans="1:5" s="218" customFormat="1" x14ac:dyDescent="0.25">
      <c r="A66" t="s">
        <v>1183</v>
      </c>
      <c r="B66" t="s">
        <v>1182</v>
      </c>
      <c r="C66" s="34">
        <v>44449</v>
      </c>
      <c r="D66" s="14">
        <v>2425.683</v>
      </c>
      <c r="E66"/>
    </row>
    <row r="67" spans="1:5" s="319" customFormat="1" x14ac:dyDescent="0.25">
      <c r="A67" t="s">
        <v>1109</v>
      </c>
      <c r="B67" t="s">
        <v>1108</v>
      </c>
      <c r="C67" s="34">
        <v>44450</v>
      </c>
      <c r="D67" s="14">
        <v>1651.165</v>
      </c>
      <c r="E67"/>
    </row>
    <row r="68" spans="1:5" x14ac:dyDescent="0.25">
      <c r="A68" t="s">
        <v>409</v>
      </c>
      <c r="B68" t="s">
        <v>339</v>
      </c>
      <c r="C68" s="34">
        <v>44452</v>
      </c>
      <c r="D68" s="14">
        <v>2118.047</v>
      </c>
    </row>
    <row r="69" spans="1:5" x14ac:dyDescent="0.25">
      <c r="A69" t="s">
        <v>1185</v>
      </c>
      <c r="B69" t="s">
        <v>1184</v>
      </c>
      <c r="C69" s="34">
        <v>44453</v>
      </c>
      <c r="D69" s="14">
        <v>650</v>
      </c>
    </row>
    <row r="70" spans="1:5" x14ac:dyDescent="0.25">
      <c r="A70" t="s">
        <v>499</v>
      </c>
      <c r="B70" t="s">
        <v>449</v>
      </c>
      <c r="C70" s="34">
        <v>44454</v>
      </c>
      <c r="D70" s="14">
        <v>2550.69</v>
      </c>
    </row>
    <row r="71" spans="1:5" x14ac:dyDescent="0.25">
      <c r="A71" t="s">
        <v>224</v>
      </c>
      <c r="B71" t="s">
        <v>133</v>
      </c>
      <c r="C71" s="34">
        <v>44454</v>
      </c>
      <c r="D71" s="14">
        <v>1000</v>
      </c>
    </row>
    <row r="72" spans="1:5" x14ac:dyDescent="0.25">
      <c r="A72" t="s">
        <v>951</v>
      </c>
      <c r="B72" t="s">
        <v>950</v>
      </c>
      <c r="C72" s="34">
        <v>44454</v>
      </c>
      <c r="D72" s="14">
        <v>2687.1080000000002</v>
      </c>
    </row>
    <row r="73" spans="1:5" x14ac:dyDescent="0.25">
      <c r="A73" t="s">
        <v>1381</v>
      </c>
      <c r="B73" t="s">
        <v>1380</v>
      </c>
      <c r="C73" s="34">
        <v>44454</v>
      </c>
      <c r="D73" s="14">
        <v>2560.194</v>
      </c>
    </row>
    <row r="74" spans="1:5" x14ac:dyDescent="0.25">
      <c r="A74" t="s">
        <v>250</v>
      </c>
      <c r="B74" t="s">
        <v>251</v>
      </c>
      <c r="C74" s="34">
        <v>44455</v>
      </c>
      <c r="D74" s="14">
        <v>20000</v>
      </c>
    </row>
    <row r="75" spans="1:5" x14ac:dyDescent="0.25">
      <c r="A75" t="s">
        <v>1185</v>
      </c>
      <c r="B75" t="s">
        <v>1184</v>
      </c>
      <c r="C75" s="34">
        <v>44458</v>
      </c>
      <c r="D75" s="14">
        <v>651</v>
      </c>
    </row>
    <row r="76" spans="1:5" x14ac:dyDescent="0.25">
      <c r="A76" t="s">
        <v>753</v>
      </c>
      <c r="B76" t="s">
        <v>752</v>
      </c>
      <c r="C76" s="34">
        <v>44459</v>
      </c>
      <c r="D76" s="14">
        <v>1750</v>
      </c>
    </row>
    <row r="77" spans="1:5" x14ac:dyDescent="0.25">
      <c r="A77" t="s">
        <v>1181</v>
      </c>
      <c r="B77" t="s">
        <v>1180</v>
      </c>
      <c r="C77" s="34">
        <v>44459</v>
      </c>
      <c r="D77" s="14">
        <v>3000</v>
      </c>
    </row>
    <row r="78" spans="1:5" x14ac:dyDescent="0.25">
      <c r="A78" t="s">
        <v>1107</v>
      </c>
      <c r="B78" t="s">
        <v>1106</v>
      </c>
      <c r="C78" s="34">
        <v>44459</v>
      </c>
      <c r="D78" s="14">
        <v>2130.9830000000002</v>
      </c>
    </row>
    <row r="79" spans="1:5" x14ac:dyDescent="0.25">
      <c r="A79" t="s">
        <v>746</v>
      </c>
      <c r="B79" t="s">
        <v>745</v>
      </c>
      <c r="C79" s="34">
        <v>44459</v>
      </c>
      <c r="D79" s="14">
        <v>1821.068</v>
      </c>
    </row>
    <row r="80" spans="1:5" x14ac:dyDescent="0.25">
      <c r="A80" t="s">
        <v>1379</v>
      </c>
      <c r="B80" t="s">
        <v>1378</v>
      </c>
      <c r="C80" s="34">
        <v>44459</v>
      </c>
      <c r="D80" s="14">
        <v>5630.1210000000001</v>
      </c>
    </row>
    <row r="81" spans="1:4" ht="15.75" thickBot="1" x14ac:dyDescent="0.3">
      <c r="A81" t="s">
        <v>409</v>
      </c>
      <c r="B81" t="s">
        <v>339</v>
      </c>
      <c r="C81" s="34">
        <v>44461</v>
      </c>
      <c r="D81" s="14">
        <v>1800</v>
      </c>
    </row>
    <row r="82" spans="1:4" ht="15.75" thickBot="1" x14ac:dyDescent="0.3">
      <c r="A82" s="695" t="s">
        <v>294</v>
      </c>
      <c r="B82" s="696"/>
      <c r="C82" s="696"/>
      <c r="D82" s="314">
        <f>SUM(D2:D81)</f>
        <v>295754.30599999998</v>
      </c>
    </row>
    <row r="83" spans="1:4" x14ac:dyDescent="0.25">
      <c r="A83" t="s">
        <v>373</v>
      </c>
      <c r="B83" t="s">
        <v>372</v>
      </c>
      <c r="C83" s="34">
        <v>44464</v>
      </c>
      <c r="D83" s="14">
        <v>2405.1190000000001</v>
      </c>
    </row>
    <row r="84" spans="1:4" x14ac:dyDescent="0.25">
      <c r="A84" t="s">
        <v>254</v>
      </c>
      <c r="B84" t="s">
        <v>255</v>
      </c>
      <c r="C84" s="34">
        <v>44464</v>
      </c>
      <c r="D84" s="14">
        <v>1510.7570000000001</v>
      </c>
    </row>
    <row r="85" spans="1:4" x14ac:dyDescent="0.25">
      <c r="A85" t="s">
        <v>252</v>
      </c>
      <c r="B85" t="s">
        <v>253</v>
      </c>
      <c r="C85" s="34">
        <v>44464</v>
      </c>
      <c r="D85" s="14">
        <v>5363.5410000000002</v>
      </c>
    </row>
    <row r="86" spans="1:4" x14ac:dyDescent="0.25">
      <c r="A86" t="s">
        <v>250</v>
      </c>
      <c r="B86" t="s">
        <v>251</v>
      </c>
      <c r="C86" s="34">
        <v>44464</v>
      </c>
      <c r="D86" s="14">
        <v>20000</v>
      </c>
    </row>
    <row r="87" spans="1:4" x14ac:dyDescent="0.25">
      <c r="A87" t="s">
        <v>746</v>
      </c>
      <c r="B87" t="s">
        <v>745</v>
      </c>
      <c r="C87" s="34">
        <v>44464</v>
      </c>
      <c r="D87" s="14">
        <v>2000</v>
      </c>
    </row>
    <row r="88" spans="1:4" x14ac:dyDescent="0.25">
      <c r="A88" t="s">
        <v>1185</v>
      </c>
      <c r="B88" t="s">
        <v>1184</v>
      </c>
      <c r="C88" s="34">
        <v>44465</v>
      </c>
      <c r="D88" s="14">
        <v>652</v>
      </c>
    </row>
    <row r="89" spans="1:4" x14ac:dyDescent="0.25">
      <c r="A89" t="s">
        <v>224</v>
      </c>
      <c r="B89" t="s">
        <v>133</v>
      </c>
      <c r="C89" s="34">
        <v>44467</v>
      </c>
      <c r="D89" s="14">
        <v>949.90099999999995</v>
      </c>
    </row>
    <row r="90" spans="1:4" x14ac:dyDescent="0.25">
      <c r="A90" t="s">
        <v>753</v>
      </c>
      <c r="B90" t="s">
        <v>752</v>
      </c>
      <c r="C90" s="34">
        <v>44469</v>
      </c>
      <c r="D90" s="14">
        <v>1752.941</v>
      </c>
    </row>
    <row r="91" spans="1:4" x14ac:dyDescent="0.25">
      <c r="A91" t="s">
        <v>1181</v>
      </c>
      <c r="B91" t="s">
        <v>1180</v>
      </c>
      <c r="C91" s="34">
        <v>44469</v>
      </c>
      <c r="D91" s="14">
        <v>2847.596</v>
      </c>
    </row>
    <row r="92" spans="1:4" x14ac:dyDescent="0.25">
      <c r="A92" t="s">
        <v>457</v>
      </c>
      <c r="B92" t="s">
        <v>456</v>
      </c>
      <c r="C92" s="34">
        <v>44469</v>
      </c>
      <c r="D92" s="14">
        <v>3287.4929999999999</v>
      </c>
    </row>
    <row r="93" spans="1:4" x14ac:dyDescent="0.25">
      <c r="A93" t="s">
        <v>499</v>
      </c>
      <c r="B93" t="s">
        <v>449</v>
      </c>
      <c r="C93" s="34">
        <v>44469</v>
      </c>
      <c r="D93" s="14">
        <v>2550.69</v>
      </c>
    </row>
    <row r="94" spans="1:4" x14ac:dyDescent="0.25">
      <c r="A94" t="s">
        <v>250</v>
      </c>
      <c r="B94" t="s">
        <v>251</v>
      </c>
      <c r="C94" s="34">
        <v>44469</v>
      </c>
      <c r="D94" s="14">
        <v>21972.423999999999</v>
      </c>
    </row>
    <row r="95" spans="1:4" x14ac:dyDescent="0.25">
      <c r="A95" t="s">
        <v>515</v>
      </c>
      <c r="B95" t="s">
        <v>514</v>
      </c>
      <c r="C95" s="34">
        <v>44469</v>
      </c>
      <c r="D95" s="14">
        <v>5188.0659999999998</v>
      </c>
    </row>
    <row r="96" spans="1:4" x14ac:dyDescent="0.25">
      <c r="A96" t="s">
        <v>993</v>
      </c>
      <c r="B96" t="s">
        <v>992</v>
      </c>
      <c r="C96" s="34">
        <v>44469</v>
      </c>
      <c r="D96" s="14">
        <v>3552.92</v>
      </c>
    </row>
    <row r="97" spans="1:4" x14ac:dyDescent="0.25">
      <c r="A97" t="s">
        <v>799</v>
      </c>
      <c r="B97" t="s">
        <v>798</v>
      </c>
      <c r="C97" s="34">
        <v>44469</v>
      </c>
      <c r="D97" s="14">
        <v>1040.8979999999999</v>
      </c>
    </row>
    <row r="98" spans="1:4" x14ac:dyDescent="0.25">
      <c r="A98" t="s">
        <v>1185</v>
      </c>
      <c r="B98" t="s">
        <v>1184</v>
      </c>
      <c r="C98" s="34">
        <v>44469</v>
      </c>
      <c r="D98" s="14">
        <v>654.91600000000005</v>
      </c>
    </row>
    <row r="99" spans="1:4" x14ac:dyDescent="0.25">
      <c r="A99" t="s">
        <v>1377</v>
      </c>
      <c r="B99" t="s">
        <v>1376</v>
      </c>
      <c r="C99" s="34">
        <v>44469</v>
      </c>
      <c r="D99" s="14">
        <v>3751.49</v>
      </c>
    </row>
    <row r="100" spans="1:4" x14ac:dyDescent="0.25">
      <c r="A100" t="s">
        <v>399</v>
      </c>
      <c r="B100" t="s">
        <v>398</v>
      </c>
      <c r="C100" s="34">
        <v>44474</v>
      </c>
      <c r="D100" s="14">
        <v>7815.1980000000003</v>
      </c>
    </row>
    <row r="101" spans="1:4" x14ac:dyDescent="0.25">
      <c r="A101" t="s">
        <v>634</v>
      </c>
      <c r="B101" t="s">
        <v>633</v>
      </c>
      <c r="C101" s="34">
        <v>44474</v>
      </c>
      <c r="D101" s="14">
        <v>7887.0020000000004</v>
      </c>
    </row>
    <row r="102" spans="1:4" x14ac:dyDescent="0.25">
      <c r="A102" t="s">
        <v>409</v>
      </c>
      <c r="B102" t="s">
        <v>339</v>
      </c>
      <c r="C102" s="34">
        <v>44476</v>
      </c>
      <c r="D102" s="14">
        <v>1832.5830000000001</v>
      </c>
    </row>
    <row r="103" spans="1:4" x14ac:dyDescent="0.25">
      <c r="A103" t="s">
        <v>250</v>
      </c>
      <c r="B103" t="s">
        <v>251</v>
      </c>
      <c r="C103" s="34">
        <v>44485</v>
      </c>
      <c r="D103" s="14">
        <v>20000</v>
      </c>
    </row>
    <row r="104" spans="1:4" x14ac:dyDescent="0.25">
      <c r="A104" t="s">
        <v>746</v>
      </c>
      <c r="B104" t="s">
        <v>745</v>
      </c>
      <c r="C104" s="34">
        <v>44489</v>
      </c>
      <c r="D104" s="14">
        <v>2000</v>
      </c>
    </row>
    <row r="105" spans="1:4" x14ac:dyDescent="0.25">
      <c r="A105" t="s">
        <v>373</v>
      </c>
      <c r="B105" t="s">
        <v>372</v>
      </c>
      <c r="C105" s="34">
        <v>44494</v>
      </c>
      <c r="D105" s="14">
        <v>1439.4079999999999</v>
      </c>
    </row>
    <row r="106" spans="1:4" x14ac:dyDescent="0.25">
      <c r="A106" t="s">
        <v>252</v>
      </c>
      <c r="B106" t="s">
        <v>253</v>
      </c>
      <c r="C106" s="34">
        <v>44494</v>
      </c>
      <c r="D106" s="14">
        <v>4662.6909999999998</v>
      </c>
    </row>
    <row r="107" spans="1:4" x14ac:dyDescent="0.25">
      <c r="A107" t="s">
        <v>250</v>
      </c>
      <c r="B107" t="s">
        <v>251</v>
      </c>
      <c r="C107" s="34">
        <v>44494</v>
      </c>
      <c r="D107" s="14">
        <v>20000</v>
      </c>
    </row>
    <row r="108" spans="1:4" x14ac:dyDescent="0.25">
      <c r="A108" t="s">
        <v>746</v>
      </c>
      <c r="B108" t="s">
        <v>745</v>
      </c>
      <c r="C108" s="34">
        <v>44494</v>
      </c>
      <c r="D108" s="14">
        <v>1952.5429999999999</v>
      </c>
    </row>
    <row r="109" spans="1:4" x14ac:dyDescent="0.25">
      <c r="A109" t="s">
        <v>250</v>
      </c>
      <c r="B109" t="s">
        <v>251</v>
      </c>
      <c r="C109" s="34">
        <v>44500</v>
      </c>
      <c r="D109" s="14">
        <v>21197.234</v>
      </c>
    </row>
    <row r="110" spans="1:4" ht="15.75" thickBot="1" x14ac:dyDescent="0.3">
      <c r="A110" t="s">
        <v>515</v>
      </c>
      <c r="B110" t="s">
        <v>514</v>
      </c>
      <c r="C110" s="34">
        <v>44500</v>
      </c>
      <c r="D110" s="14">
        <v>4109.1610000000001</v>
      </c>
    </row>
    <row r="111" spans="1:4" ht="15.75" thickBot="1" x14ac:dyDescent="0.3">
      <c r="A111" s="695" t="s">
        <v>295</v>
      </c>
      <c r="B111" s="696"/>
      <c r="C111" s="696"/>
      <c r="D111" s="314">
        <f>SUM(D83:D110)</f>
        <v>172376.57200000001</v>
      </c>
    </row>
    <row r="112" spans="1:4" ht="15.75" thickBot="1" x14ac:dyDescent="0.3">
      <c r="A112" s="218"/>
      <c r="B112" s="218"/>
      <c r="C112" s="218"/>
      <c r="D112" s="256"/>
    </row>
    <row r="113" spans="1:4" ht="15.75" thickBot="1" x14ac:dyDescent="0.3">
      <c r="A113" s="693" t="s">
        <v>50</v>
      </c>
      <c r="B113" s="694"/>
      <c r="C113" s="694"/>
      <c r="D113" s="313">
        <f>+D111+D82</f>
        <v>468130.87800000003</v>
      </c>
    </row>
    <row r="246" spans="5:5" x14ac:dyDescent="0.25">
      <c r="E246" s="312"/>
    </row>
    <row r="288" spans="5:5" x14ac:dyDescent="0.25">
      <c r="E288" s="312"/>
    </row>
  </sheetData>
  <mergeCells count="3">
    <mergeCell ref="A82:C82"/>
    <mergeCell ref="A111:C111"/>
    <mergeCell ref="A113:C11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T49"/>
  <sheetViews>
    <sheetView tabSelected="1" zoomScale="85" zoomScaleNormal="85" workbookViewId="0">
      <selection activeCell="A22" sqref="A22:XFD29"/>
    </sheetView>
  </sheetViews>
  <sheetFormatPr baseColWidth="10" defaultRowHeight="15" x14ac:dyDescent="0.25"/>
  <cols>
    <col min="1" max="1" width="4.42578125" customWidth="1"/>
    <col min="2" max="2" width="32" bestFit="1" customWidth="1"/>
    <col min="3" max="3" width="11.42578125" bestFit="1" customWidth="1"/>
    <col min="4" max="4" width="14.42578125" style="34" bestFit="1" customWidth="1"/>
    <col min="5" max="5" width="16.5703125" style="34" bestFit="1" customWidth="1"/>
    <col min="6" max="6" width="10.28515625" style="14" bestFit="1" customWidth="1"/>
    <col min="7" max="7" width="2.140625" style="222" bestFit="1" customWidth="1"/>
    <col min="8" max="8" width="2.140625" bestFit="1" customWidth="1"/>
    <col min="9" max="9" width="10.28515625" style="14" bestFit="1" customWidth="1"/>
    <col min="10" max="10" width="15.28515625" style="34" bestFit="1" customWidth="1"/>
    <col min="11" max="11" width="12.5703125" bestFit="1" customWidth="1"/>
    <col min="12" max="12" width="14.140625" bestFit="1" customWidth="1"/>
    <col min="20" max="20" width="11.42578125" style="14"/>
  </cols>
  <sheetData>
    <row r="1" spans="1:20" s="217" customFormat="1" ht="12.75" x14ac:dyDescent="0.2">
      <c r="A1" s="212" t="s">
        <v>263</v>
      </c>
      <c r="B1" s="212" t="s">
        <v>264</v>
      </c>
      <c r="C1" s="213" t="s">
        <v>265</v>
      </c>
      <c r="D1" s="214" t="s">
        <v>266</v>
      </c>
      <c r="E1" s="214" t="s">
        <v>267</v>
      </c>
      <c r="F1" s="219" t="s">
        <v>268</v>
      </c>
      <c r="G1" s="697" t="s">
        <v>269</v>
      </c>
      <c r="H1" s="697"/>
      <c r="I1" s="215" t="s">
        <v>270</v>
      </c>
      <c r="J1" s="214" t="s">
        <v>10</v>
      </c>
      <c r="K1" s="216" t="s">
        <v>271</v>
      </c>
      <c r="L1" s="216" t="s">
        <v>272</v>
      </c>
      <c r="T1" s="255"/>
    </row>
    <row r="2" spans="1:20" x14ac:dyDescent="0.25">
      <c r="A2" t="s">
        <v>273</v>
      </c>
      <c r="B2" t="s">
        <v>731</v>
      </c>
      <c r="C2" s="211" t="s">
        <v>727</v>
      </c>
      <c r="D2" s="34">
        <v>44139</v>
      </c>
      <c r="F2" s="14">
        <f t="shared" ref="F2:F25" si="0">SUM(I2*G2)</f>
        <v>73.41</v>
      </c>
      <c r="G2" s="220">
        <v>1</v>
      </c>
      <c r="H2" s="221">
        <f t="shared" ref="H2:H25" si="1">IF(E2="",1,0)</f>
        <v>1</v>
      </c>
      <c r="I2" s="14">
        <v>73.41</v>
      </c>
      <c r="J2" s="34">
        <f t="shared" ref="J2:J12" si="2">+D2</f>
        <v>44139</v>
      </c>
      <c r="K2" s="211" t="s">
        <v>729</v>
      </c>
      <c r="L2" t="s">
        <v>351</v>
      </c>
    </row>
    <row r="3" spans="1:20" x14ac:dyDescent="0.25">
      <c r="A3" t="s">
        <v>273</v>
      </c>
      <c r="B3" t="s">
        <v>406</v>
      </c>
      <c r="C3" s="211" t="s">
        <v>777</v>
      </c>
      <c r="D3" s="34">
        <v>44176</v>
      </c>
      <c r="F3" s="14">
        <f t="shared" si="0"/>
        <v>1619.4559999999999</v>
      </c>
      <c r="G3" s="220">
        <v>1</v>
      </c>
      <c r="H3" s="221">
        <f t="shared" si="1"/>
        <v>1</v>
      </c>
      <c r="I3" s="14">
        <v>1619.4559999999999</v>
      </c>
      <c r="J3" s="34">
        <f t="shared" si="2"/>
        <v>44176</v>
      </c>
      <c r="K3" s="211" t="s">
        <v>778</v>
      </c>
      <c r="L3" t="s">
        <v>351</v>
      </c>
    </row>
    <row r="4" spans="1:20" x14ac:dyDescent="0.25">
      <c r="A4" t="s">
        <v>273</v>
      </c>
      <c r="B4" t="s">
        <v>919</v>
      </c>
      <c r="C4" s="211" t="s">
        <v>917</v>
      </c>
      <c r="D4" s="34">
        <v>44263</v>
      </c>
      <c r="F4" s="14">
        <f t="shared" si="0"/>
        <v>305.95299999999997</v>
      </c>
      <c r="G4" s="220">
        <v>1</v>
      </c>
      <c r="H4" s="221">
        <f t="shared" si="1"/>
        <v>1</v>
      </c>
      <c r="I4" s="14">
        <v>305.95299999999997</v>
      </c>
      <c r="J4" s="34">
        <f t="shared" si="2"/>
        <v>44263</v>
      </c>
      <c r="K4" s="211" t="s">
        <v>918</v>
      </c>
      <c r="L4" t="s">
        <v>351</v>
      </c>
    </row>
    <row r="5" spans="1:20" x14ac:dyDescent="0.25">
      <c r="A5" t="s">
        <v>273</v>
      </c>
      <c r="B5" t="s">
        <v>455</v>
      </c>
      <c r="C5" s="211" t="s">
        <v>921</v>
      </c>
      <c r="D5" s="34">
        <v>44267</v>
      </c>
      <c r="F5" s="14">
        <f t="shared" si="0"/>
        <v>149.68299999999999</v>
      </c>
      <c r="G5" s="220">
        <v>1</v>
      </c>
      <c r="H5" s="221">
        <f t="shared" si="1"/>
        <v>1</v>
      </c>
      <c r="I5" s="14">
        <v>149.68299999999999</v>
      </c>
      <c r="J5" s="34">
        <f t="shared" si="2"/>
        <v>44267</v>
      </c>
      <c r="K5" s="211" t="s">
        <v>922</v>
      </c>
      <c r="L5" s="218" t="s">
        <v>351</v>
      </c>
    </row>
    <row r="6" spans="1:20" x14ac:dyDescent="0.25">
      <c r="A6" t="s">
        <v>273</v>
      </c>
      <c r="B6" t="s">
        <v>731</v>
      </c>
      <c r="C6" s="211" t="s">
        <v>1122</v>
      </c>
      <c r="D6" s="34">
        <v>44335</v>
      </c>
      <c r="F6" s="14">
        <f t="shared" si="0"/>
        <v>36.6</v>
      </c>
      <c r="G6" s="220">
        <v>1</v>
      </c>
      <c r="H6" s="221">
        <f t="shared" si="1"/>
        <v>1</v>
      </c>
      <c r="I6" s="14">
        <v>36.6</v>
      </c>
      <c r="J6" s="34">
        <f t="shared" si="2"/>
        <v>44335</v>
      </c>
      <c r="K6" s="211" t="s">
        <v>1123</v>
      </c>
      <c r="L6" s="218" t="s">
        <v>351</v>
      </c>
    </row>
    <row r="7" spans="1:20" x14ac:dyDescent="0.25">
      <c r="A7" t="s">
        <v>273</v>
      </c>
      <c r="B7" t="s">
        <v>276</v>
      </c>
      <c r="C7" s="211" t="s">
        <v>277</v>
      </c>
      <c r="D7" s="34">
        <v>42850</v>
      </c>
      <c r="F7" s="14">
        <f t="shared" si="0"/>
        <v>684</v>
      </c>
      <c r="G7" s="220">
        <v>1</v>
      </c>
      <c r="H7" s="221">
        <f t="shared" si="1"/>
        <v>1</v>
      </c>
      <c r="I7" s="14">
        <v>684</v>
      </c>
      <c r="J7" s="34">
        <f t="shared" si="2"/>
        <v>42850</v>
      </c>
      <c r="K7" s="211" t="s">
        <v>278</v>
      </c>
      <c r="L7" s="218" t="s">
        <v>311</v>
      </c>
    </row>
    <row r="8" spans="1:20" x14ac:dyDescent="0.25">
      <c r="A8" t="s">
        <v>273</v>
      </c>
      <c r="B8" t="s">
        <v>276</v>
      </c>
      <c r="C8" s="211" t="s">
        <v>279</v>
      </c>
      <c r="D8" s="34">
        <v>42921</v>
      </c>
      <c r="F8" s="14">
        <f t="shared" si="0"/>
        <v>684</v>
      </c>
      <c r="G8" s="220">
        <v>1</v>
      </c>
      <c r="H8" s="221">
        <f t="shared" si="1"/>
        <v>1</v>
      </c>
      <c r="I8" s="14">
        <v>684</v>
      </c>
      <c r="J8" s="34">
        <f t="shared" si="2"/>
        <v>42921</v>
      </c>
      <c r="K8" s="211" t="s">
        <v>280</v>
      </c>
      <c r="L8" s="218" t="s">
        <v>311</v>
      </c>
    </row>
    <row r="9" spans="1:20" x14ac:dyDescent="0.25">
      <c r="A9" t="s">
        <v>273</v>
      </c>
      <c r="B9" t="s">
        <v>281</v>
      </c>
      <c r="C9" s="211" t="s">
        <v>282</v>
      </c>
      <c r="D9" s="34">
        <v>43033</v>
      </c>
      <c r="F9" s="14">
        <f t="shared" si="0"/>
        <v>212.9</v>
      </c>
      <c r="G9" s="220">
        <v>1</v>
      </c>
      <c r="H9" s="221">
        <f t="shared" si="1"/>
        <v>1</v>
      </c>
      <c r="I9" s="14">
        <v>212.9</v>
      </c>
      <c r="J9" s="34">
        <f t="shared" si="2"/>
        <v>43033</v>
      </c>
      <c r="K9" s="211" t="s">
        <v>283</v>
      </c>
      <c r="L9" s="218" t="s">
        <v>311</v>
      </c>
    </row>
    <row r="10" spans="1:20" x14ac:dyDescent="0.25">
      <c r="A10" t="s">
        <v>273</v>
      </c>
      <c r="B10" t="s">
        <v>323</v>
      </c>
      <c r="C10" s="211" t="s">
        <v>321</v>
      </c>
      <c r="D10" s="34">
        <v>43458</v>
      </c>
      <c r="F10" s="14">
        <f t="shared" si="0"/>
        <v>174.34</v>
      </c>
      <c r="G10" s="220">
        <v>1</v>
      </c>
      <c r="H10" s="221">
        <f t="shared" si="1"/>
        <v>1</v>
      </c>
      <c r="I10" s="14">
        <v>174.34</v>
      </c>
      <c r="J10" s="34">
        <f t="shared" si="2"/>
        <v>43458</v>
      </c>
      <c r="K10" s="211" t="s">
        <v>322</v>
      </c>
      <c r="L10" s="218" t="s">
        <v>311</v>
      </c>
    </row>
    <row r="11" spans="1:20" x14ac:dyDescent="0.25">
      <c r="A11" t="s">
        <v>273</v>
      </c>
      <c r="B11" t="s">
        <v>413</v>
      </c>
      <c r="C11" s="211" t="s">
        <v>411</v>
      </c>
      <c r="D11" s="34">
        <v>43836</v>
      </c>
      <c r="F11" s="14">
        <f t="shared" si="0"/>
        <v>107.7</v>
      </c>
      <c r="G11" s="220">
        <v>1</v>
      </c>
      <c r="H11" s="221">
        <f t="shared" si="1"/>
        <v>1</v>
      </c>
      <c r="I11" s="14">
        <v>107.7</v>
      </c>
      <c r="J11" s="34">
        <f t="shared" si="2"/>
        <v>43836</v>
      </c>
      <c r="K11" s="211" t="s">
        <v>412</v>
      </c>
      <c r="L11" s="218" t="s">
        <v>311</v>
      </c>
    </row>
    <row r="12" spans="1:20" x14ac:dyDescent="0.25">
      <c r="A12" t="s">
        <v>273</v>
      </c>
      <c r="B12" t="s">
        <v>434</v>
      </c>
      <c r="C12" s="211" t="s">
        <v>432</v>
      </c>
      <c r="D12" s="34">
        <v>43885</v>
      </c>
      <c r="F12" s="14">
        <f t="shared" si="0"/>
        <v>1125.2639999999999</v>
      </c>
      <c r="G12" s="220">
        <v>1</v>
      </c>
      <c r="H12" s="221">
        <f t="shared" si="1"/>
        <v>1</v>
      </c>
      <c r="I12" s="14">
        <v>1125.2639999999999</v>
      </c>
      <c r="J12" s="34">
        <f t="shared" si="2"/>
        <v>43885</v>
      </c>
      <c r="K12" s="211" t="s">
        <v>433</v>
      </c>
      <c r="L12" s="218" t="s">
        <v>311</v>
      </c>
    </row>
    <row r="13" spans="1:20" x14ac:dyDescent="0.25">
      <c r="A13" t="s">
        <v>274</v>
      </c>
      <c r="B13" t="s">
        <v>465</v>
      </c>
      <c r="C13" s="211" t="s">
        <v>463</v>
      </c>
      <c r="D13" s="34">
        <v>43984</v>
      </c>
      <c r="F13" s="14">
        <f t="shared" si="0"/>
        <v>717.22799999999995</v>
      </c>
      <c r="G13" s="220">
        <v>1</v>
      </c>
      <c r="H13" s="221">
        <f t="shared" si="1"/>
        <v>1</v>
      </c>
      <c r="I13" s="14">
        <v>717.22799999999995</v>
      </c>
      <c r="J13" s="34">
        <v>44058</v>
      </c>
      <c r="K13" s="211" t="s">
        <v>464</v>
      </c>
      <c r="L13" s="218" t="s">
        <v>311</v>
      </c>
    </row>
    <row r="14" spans="1:20" x14ac:dyDescent="0.25">
      <c r="A14" t="s">
        <v>273</v>
      </c>
      <c r="B14" t="s">
        <v>730</v>
      </c>
      <c r="C14" s="211" t="s">
        <v>726</v>
      </c>
      <c r="D14" s="34">
        <v>44139</v>
      </c>
      <c r="F14" s="14">
        <f t="shared" si="0"/>
        <v>115.6</v>
      </c>
      <c r="G14" s="220">
        <v>1</v>
      </c>
      <c r="H14" s="221">
        <f t="shared" si="1"/>
        <v>1</v>
      </c>
      <c r="I14" s="14">
        <v>115.6</v>
      </c>
      <c r="J14" s="34">
        <f>+D14</f>
        <v>44139</v>
      </c>
      <c r="K14" s="211" t="s">
        <v>728</v>
      </c>
      <c r="L14" s="218" t="s">
        <v>311</v>
      </c>
    </row>
    <row r="15" spans="1:20" x14ac:dyDescent="0.25">
      <c r="A15" t="s">
        <v>273</v>
      </c>
      <c r="B15" t="s">
        <v>708</v>
      </c>
      <c r="C15" s="211" t="s">
        <v>834</v>
      </c>
      <c r="D15" s="34">
        <v>44224</v>
      </c>
      <c r="F15" s="14">
        <f t="shared" si="0"/>
        <v>308.57400000000001</v>
      </c>
      <c r="G15" s="220">
        <v>1</v>
      </c>
      <c r="H15" s="221">
        <f t="shared" si="1"/>
        <v>1</v>
      </c>
      <c r="I15" s="14">
        <v>308.57400000000001</v>
      </c>
      <c r="J15" s="34">
        <f>+D15</f>
        <v>44224</v>
      </c>
      <c r="K15" s="211" t="s">
        <v>836</v>
      </c>
      <c r="L15" s="218" t="s">
        <v>311</v>
      </c>
    </row>
    <row r="16" spans="1:20" x14ac:dyDescent="0.25">
      <c r="A16" t="s">
        <v>273</v>
      </c>
      <c r="B16" t="s">
        <v>725</v>
      </c>
      <c r="C16" s="211" t="s">
        <v>833</v>
      </c>
      <c r="D16" s="34">
        <v>44224</v>
      </c>
      <c r="F16" s="14">
        <f t="shared" si="0"/>
        <v>579.42499999999995</v>
      </c>
      <c r="G16" s="220">
        <v>1</v>
      </c>
      <c r="H16" s="221">
        <f t="shared" si="1"/>
        <v>1</v>
      </c>
      <c r="I16" s="14">
        <v>579.42499999999995</v>
      </c>
      <c r="J16" s="34">
        <f>+D16</f>
        <v>44224</v>
      </c>
      <c r="K16" s="211" t="s">
        <v>835</v>
      </c>
      <c r="L16" s="218" t="s">
        <v>311</v>
      </c>
    </row>
    <row r="17" spans="1:12" x14ac:dyDescent="0.25">
      <c r="A17" t="s">
        <v>273</v>
      </c>
      <c r="B17" t="s">
        <v>579</v>
      </c>
      <c r="C17" s="211" t="s">
        <v>855</v>
      </c>
      <c r="D17" s="34">
        <v>44238</v>
      </c>
      <c r="F17" s="14">
        <f t="shared" si="0"/>
        <v>71.447999999999993</v>
      </c>
      <c r="G17" s="220">
        <v>1</v>
      </c>
      <c r="H17" s="221">
        <f t="shared" si="1"/>
        <v>1</v>
      </c>
      <c r="I17" s="14">
        <v>71.447999999999993</v>
      </c>
      <c r="J17" s="34">
        <f>+D17</f>
        <v>44238</v>
      </c>
      <c r="K17" s="211" t="s">
        <v>856</v>
      </c>
      <c r="L17" s="218" t="s">
        <v>311</v>
      </c>
    </row>
    <row r="18" spans="1:12" x14ac:dyDescent="0.25">
      <c r="A18" t="s">
        <v>273</v>
      </c>
      <c r="B18" t="s">
        <v>920</v>
      </c>
      <c r="C18" s="211" t="s">
        <v>940</v>
      </c>
      <c r="D18" s="34">
        <v>44277</v>
      </c>
      <c r="F18" s="14">
        <f t="shared" si="0"/>
        <v>225.51</v>
      </c>
      <c r="G18" s="220">
        <v>1</v>
      </c>
      <c r="H18" s="221">
        <f t="shared" si="1"/>
        <v>1</v>
      </c>
      <c r="I18" s="14">
        <v>225.51</v>
      </c>
      <c r="J18" s="34">
        <f>+D18</f>
        <v>44277</v>
      </c>
      <c r="K18" s="211" t="s">
        <v>941</v>
      </c>
      <c r="L18" s="218" t="s">
        <v>311</v>
      </c>
    </row>
    <row r="19" spans="1:12" x14ac:dyDescent="0.25">
      <c r="A19" t="s">
        <v>273</v>
      </c>
      <c r="B19" t="s">
        <v>986</v>
      </c>
      <c r="C19" s="211" t="s">
        <v>984</v>
      </c>
      <c r="D19" s="34">
        <v>44292</v>
      </c>
      <c r="F19" s="14">
        <f t="shared" si="0"/>
        <v>930.89</v>
      </c>
      <c r="G19" s="220">
        <v>1</v>
      </c>
      <c r="H19" s="221">
        <f t="shared" si="1"/>
        <v>1</v>
      </c>
      <c r="I19" s="14">
        <v>930.89</v>
      </c>
      <c r="J19" s="34">
        <f>D19</f>
        <v>44292</v>
      </c>
      <c r="K19" s="211" t="s">
        <v>985</v>
      </c>
      <c r="L19" s="218" t="s">
        <v>311</v>
      </c>
    </row>
    <row r="20" spans="1:12" x14ac:dyDescent="0.25">
      <c r="A20" t="s">
        <v>274</v>
      </c>
      <c r="B20" t="s">
        <v>275</v>
      </c>
      <c r="C20" s="211" t="s">
        <v>1082</v>
      </c>
      <c r="D20" s="34">
        <v>44321</v>
      </c>
      <c r="F20" s="14">
        <f t="shared" si="0"/>
        <v>261.20999999999998</v>
      </c>
      <c r="G20" s="220">
        <v>1</v>
      </c>
      <c r="H20" s="221">
        <f t="shared" si="1"/>
        <v>1</v>
      </c>
      <c r="I20" s="14">
        <v>261.20999999999998</v>
      </c>
      <c r="J20" s="34">
        <v>44402</v>
      </c>
      <c r="K20" s="211" t="s">
        <v>1083</v>
      </c>
      <c r="L20" s="218" t="s">
        <v>311</v>
      </c>
    </row>
    <row r="21" spans="1:12" x14ac:dyDescent="0.25">
      <c r="A21" t="s">
        <v>785</v>
      </c>
      <c r="B21" t="s">
        <v>755</v>
      </c>
      <c r="C21" s="211" t="s">
        <v>784</v>
      </c>
      <c r="D21" s="34">
        <v>44183</v>
      </c>
      <c r="E21" s="34">
        <v>44183</v>
      </c>
      <c r="F21" s="14">
        <f t="shared" si="0"/>
        <v>90.034999999999997</v>
      </c>
      <c r="G21" s="220">
        <v>1</v>
      </c>
      <c r="H21" s="221">
        <f t="shared" si="1"/>
        <v>0</v>
      </c>
      <c r="I21" s="14">
        <v>90.034999999999997</v>
      </c>
      <c r="J21" s="34">
        <f t="shared" ref="J21" si="3">+D21</f>
        <v>44183</v>
      </c>
      <c r="K21" s="211" t="s">
        <v>786</v>
      </c>
      <c r="L21" s="218"/>
    </row>
    <row r="22" spans="1:12" x14ac:dyDescent="0.25">
      <c r="F22" s="14">
        <f t="shared" si="0"/>
        <v>0</v>
      </c>
      <c r="G22" s="220">
        <v>1</v>
      </c>
      <c r="H22" s="221">
        <f t="shared" si="1"/>
        <v>1</v>
      </c>
    </row>
    <row r="23" spans="1:12" x14ac:dyDescent="0.25">
      <c r="F23" s="14">
        <f t="shared" si="0"/>
        <v>0</v>
      </c>
      <c r="G23" s="220">
        <v>1</v>
      </c>
      <c r="H23" s="221">
        <f t="shared" si="1"/>
        <v>1</v>
      </c>
    </row>
    <row r="24" spans="1:12" x14ac:dyDescent="0.25">
      <c r="F24" s="14">
        <f t="shared" si="0"/>
        <v>0</v>
      </c>
      <c r="G24" s="220">
        <v>1</v>
      </c>
      <c r="H24" s="221">
        <f t="shared" si="1"/>
        <v>1</v>
      </c>
    </row>
    <row r="25" spans="1:12" x14ac:dyDescent="0.25">
      <c r="F25" s="14">
        <f t="shared" si="0"/>
        <v>0</v>
      </c>
      <c r="G25" s="220">
        <v>1</v>
      </c>
      <c r="H25" s="221">
        <f t="shared" si="1"/>
        <v>1</v>
      </c>
    </row>
    <row r="26" spans="1:12" x14ac:dyDescent="0.25">
      <c r="F26" s="14">
        <f t="shared" ref="F26:F49" si="4">SUM(I26*G26)</f>
        <v>0</v>
      </c>
      <c r="G26" s="220">
        <v>1</v>
      </c>
      <c r="H26" s="221">
        <f t="shared" ref="H26:H49" si="5">IF(E26="",1,0)</f>
        <v>1</v>
      </c>
    </row>
    <row r="27" spans="1:12" x14ac:dyDescent="0.25">
      <c r="F27" s="14">
        <f t="shared" si="4"/>
        <v>0</v>
      </c>
      <c r="G27" s="220">
        <v>1</v>
      </c>
      <c r="H27" s="221">
        <f t="shared" si="5"/>
        <v>1</v>
      </c>
    </row>
    <row r="28" spans="1:12" x14ac:dyDescent="0.25">
      <c r="F28" s="14">
        <f t="shared" si="4"/>
        <v>0</v>
      </c>
      <c r="G28" s="220">
        <v>1</v>
      </c>
      <c r="H28" s="221">
        <f t="shared" si="5"/>
        <v>1</v>
      </c>
    </row>
    <row r="29" spans="1:12" x14ac:dyDescent="0.25">
      <c r="F29" s="14">
        <f t="shared" si="4"/>
        <v>0</v>
      </c>
      <c r="G29" s="220">
        <v>1</v>
      </c>
      <c r="H29" s="221">
        <f t="shared" si="5"/>
        <v>1</v>
      </c>
    </row>
    <row r="30" spans="1:12" x14ac:dyDescent="0.25">
      <c r="F30" s="14">
        <f t="shared" si="4"/>
        <v>0</v>
      </c>
      <c r="G30" s="220">
        <v>1</v>
      </c>
      <c r="H30" s="221">
        <f t="shared" si="5"/>
        <v>1</v>
      </c>
    </row>
    <row r="31" spans="1:12" x14ac:dyDescent="0.25">
      <c r="F31" s="14">
        <f t="shared" si="4"/>
        <v>0</v>
      </c>
      <c r="G31" s="220">
        <v>1</v>
      </c>
      <c r="H31" s="221">
        <f t="shared" si="5"/>
        <v>1</v>
      </c>
    </row>
    <row r="32" spans="1:12" x14ac:dyDescent="0.25">
      <c r="F32" s="14">
        <f t="shared" si="4"/>
        <v>0</v>
      </c>
      <c r="G32" s="220">
        <v>1</v>
      </c>
      <c r="H32" s="221">
        <f t="shared" si="5"/>
        <v>1</v>
      </c>
    </row>
    <row r="33" spans="6:8" x14ac:dyDescent="0.25">
      <c r="F33" s="14">
        <f t="shared" si="4"/>
        <v>0</v>
      </c>
      <c r="G33" s="220">
        <v>1</v>
      </c>
      <c r="H33" s="221">
        <f t="shared" si="5"/>
        <v>1</v>
      </c>
    </row>
    <row r="34" spans="6:8" x14ac:dyDescent="0.25">
      <c r="F34" s="14">
        <f t="shared" si="4"/>
        <v>0</v>
      </c>
      <c r="G34" s="220">
        <v>1</v>
      </c>
      <c r="H34" s="221">
        <f t="shared" si="5"/>
        <v>1</v>
      </c>
    </row>
    <row r="35" spans="6:8" x14ac:dyDescent="0.25">
      <c r="F35" s="14">
        <f t="shared" si="4"/>
        <v>0</v>
      </c>
      <c r="G35" s="220">
        <v>1</v>
      </c>
      <c r="H35" s="221">
        <f t="shared" si="5"/>
        <v>1</v>
      </c>
    </row>
    <row r="36" spans="6:8" x14ac:dyDescent="0.25">
      <c r="F36" s="14">
        <f t="shared" si="4"/>
        <v>0</v>
      </c>
      <c r="G36" s="220">
        <v>1</v>
      </c>
      <c r="H36" s="221">
        <f t="shared" si="5"/>
        <v>1</v>
      </c>
    </row>
    <row r="37" spans="6:8" x14ac:dyDescent="0.25">
      <c r="F37" s="14">
        <f t="shared" si="4"/>
        <v>0</v>
      </c>
      <c r="G37" s="220">
        <v>1</v>
      </c>
      <c r="H37" s="221">
        <f t="shared" si="5"/>
        <v>1</v>
      </c>
    </row>
    <row r="38" spans="6:8" x14ac:dyDescent="0.25">
      <c r="F38" s="14">
        <f t="shared" si="4"/>
        <v>0</v>
      </c>
      <c r="G38" s="220">
        <v>1</v>
      </c>
      <c r="H38" s="221">
        <f t="shared" si="5"/>
        <v>1</v>
      </c>
    </row>
    <row r="39" spans="6:8" x14ac:dyDescent="0.25">
      <c r="F39" s="14">
        <f t="shared" si="4"/>
        <v>0</v>
      </c>
      <c r="G39" s="220">
        <v>1</v>
      </c>
      <c r="H39" s="221">
        <f t="shared" si="5"/>
        <v>1</v>
      </c>
    </row>
    <row r="40" spans="6:8" x14ac:dyDescent="0.25">
      <c r="F40" s="14">
        <f t="shared" si="4"/>
        <v>0</v>
      </c>
      <c r="G40" s="220">
        <v>1</v>
      </c>
      <c r="H40" s="221">
        <f t="shared" si="5"/>
        <v>1</v>
      </c>
    </row>
    <row r="41" spans="6:8" x14ac:dyDescent="0.25">
      <c r="F41" s="14">
        <f t="shared" si="4"/>
        <v>0</v>
      </c>
      <c r="G41" s="220">
        <v>1</v>
      </c>
      <c r="H41" s="221">
        <f t="shared" si="5"/>
        <v>1</v>
      </c>
    </row>
    <row r="42" spans="6:8" x14ac:dyDescent="0.25">
      <c r="F42" s="14">
        <f t="shared" si="4"/>
        <v>0</v>
      </c>
      <c r="G42" s="220">
        <v>1</v>
      </c>
      <c r="H42" s="221">
        <f t="shared" si="5"/>
        <v>1</v>
      </c>
    </row>
    <row r="43" spans="6:8" x14ac:dyDescent="0.25">
      <c r="F43" s="14">
        <f t="shared" si="4"/>
        <v>0</v>
      </c>
      <c r="G43" s="220">
        <v>1</v>
      </c>
      <c r="H43" s="221">
        <f t="shared" si="5"/>
        <v>1</v>
      </c>
    </row>
    <row r="44" spans="6:8" x14ac:dyDescent="0.25">
      <c r="F44" s="14">
        <f t="shared" si="4"/>
        <v>0</v>
      </c>
      <c r="G44" s="220">
        <v>1</v>
      </c>
      <c r="H44" s="221">
        <f t="shared" si="5"/>
        <v>1</v>
      </c>
    </row>
    <row r="45" spans="6:8" x14ac:dyDescent="0.25">
      <c r="F45" s="14">
        <f t="shared" si="4"/>
        <v>0</v>
      </c>
      <c r="G45" s="220">
        <v>1</v>
      </c>
      <c r="H45" s="221">
        <f t="shared" si="5"/>
        <v>1</v>
      </c>
    </row>
    <row r="46" spans="6:8" x14ac:dyDescent="0.25">
      <c r="F46" s="14">
        <f t="shared" si="4"/>
        <v>0</v>
      </c>
      <c r="G46" s="220">
        <v>1</v>
      </c>
      <c r="H46" s="221">
        <f t="shared" si="5"/>
        <v>1</v>
      </c>
    </row>
    <row r="47" spans="6:8" x14ac:dyDescent="0.25">
      <c r="F47" s="14">
        <f t="shared" si="4"/>
        <v>0</v>
      </c>
      <c r="G47" s="220">
        <v>1</v>
      </c>
      <c r="H47" s="221">
        <f t="shared" si="5"/>
        <v>1</v>
      </c>
    </row>
    <row r="48" spans="6:8" x14ac:dyDescent="0.25">
      <c r="F48" s="14">
        <f t="shared" si="4"/>
        <v>0</v>
      </c>
      <c r="G48" s="220">
        <v>1</v>
      </c>
      <c r="H48" s="221">
        <f t="shared" si="5"/>
        <v>1</v>
      </c>
    </row>
    <row r="49" spans="6:8" x14ac:dyDescent="0.25">
      <c r="F49" s="14">
        <f t="shared" si="4"/>
        <v>0</v>
      </c>
      <c r="G49" s="220">
        <v>1</v>
      </c>
      <c r="H49" s="221">
        <f t="shared" si="5"/>
        <v>1</v>
      </c>
    </row>
  </sheetData>
  <autoFilter ref="A1:L12" xr:uid="{00000000-0009-0000-0000-000007000000}">
    <filterColumn colId="6" showButton="0"/>
  </autoFilter>
  <sortState xmlns:xlrd2="http://schemas.microsoft.com/office/spreadsheetml/2017/richdata2" ref="A2:T57">
    <sortCondition ref="L2:L57"/>
    <sortCondition ref="J2:J57"/>
  </sortState>
  <mergeCells count="1">
    <mergeCell ref="G1:H1"/>
  </mergeCells>
  <pageMargins left="0.7" right="0.7" top="0.75" bottom="0.75" header="0.3" footer="0.3"/>
  <pageSetup paperSize="9" orientation="portrait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M63"/>
  <sheetViews>
    <sheetView zoomScale="85" zoomScaleNormal="85" workbookViewId="0">
      <selection activeCell="E43" sqref="E43"/>
    </sheetView>
  </sheetViews>
  <sheetFormatPr baseColWidth="10" defaultRowHeight="15" x14ac:dyDescent="0.25"/>
  <cols>
    <col min="1" max="1" width="5.7109375" bestFit="1" customWidth="1"/>
    <col min="2" max="2" width="29.5703125" bestFit="1" customWidth="1"/>
    <col min="3" max="3" width="9.28515625" bestFit="1" customWidth="1"/>
    <col min="4" max="4" width="10.85546875" style="34" bestFit="1" customWidth="1"/>
    <col min="5" max="5" width="11.42578125" style="34" bestFit="1" customWidth="1"/>
    <col min="6" max="6" width="11.28515625" bestFit="1" customWidth="1"/>
    <col min="7" max="7" width="2.140625" style="14" bestFit="1" customWidth="1"/>
    <col min="8" max="8" width="2.140625" bestFit="1" customWidth="1"/>
    <col min="9" max="9" width="11.28515625" style="14" bestFit="1" customWidth="1"/>
    <col min="10" max="10" width="10.5703125" bestFit="1" customWidth="1"/>
    <col min="11" max="11" width="10.85546875" style="34" bestFit="1" customWidth="1"/>
    <col min="12" max="12" width="8.42578125" bestFit="1" customWidth="1"/>
    <col min="13" max="13" width="14.140625" bestFit="1" customWidth="1"/>
  </cols>
  <sheetData>
    <row r="1" spans="1:13" s="217" customFormat="1" ht="12.75" x14ac:dyDescent="0.2">
      <c r="A1" s="212" t="s">
        <v>263</v>
      </c>
      <c r="B1" s="212" t="s">
        <v>264</v>
      </c>
      <c r="C1" s="213" t="s">
        <v>265</v>
      </c>
      <c r="D1" s="214" t="s">
        <v>266</v>
      </c>
      <c r="E1" s="214" t="s">
        <v>267</v>
      </c>
      <c r="F1" s="219" t="s">
        <v>268</v>
      </c>
      <c r="G1" s="697" t="s">
        <v>269</v>
      </c>
      <c r="H1" s="697"/>
      <c r="I1" s="215" t="s">
        <v>270</v>
      </c>
      <c r="J1" s="215" t="s">
        <v>258</v>
      </c>
      <c r="K1" s="214" t="s">
        <v>10</v>
      </c>
      <c r="L1" s="216" t="s">
        <v>271</v>
      </c>
      <c r="M1" s="216" t="s">
        <v>272</v>
      </c>
    </row>
    <row r="2" spans="1:13" x14ac:dyDescent="0.25">
      <c r="A2" t="s">
        <v>273</v>
      </c>
      <c r="B2" t="s">
        <v>403</v>
      </c>
      <c r="C2" s="211" t="s">
        <v>401</v>
      </c>
      <c r="D2" s="34">
        <v>43812</v>
      </c>
      <c r="F2" s="14">
        <f t="shared" ref="F2:F33" si="0">SUM(I2*G2)</f>
        <v>476.6</v>
      </c>
      <c r="G2" s="220">
        <v>1</v>
      </c>
      <c r="H2" s="221">
        <f t="shared" ref="H2:H33" si="1">IF(E2="",1,0)</f>
        <v>1</v>
      </c>
      <c r="I2" s="14">
        <v>476.6</v>
      </c>
      <c r="J2" t="s">
        <v>287</v>
      </c>
      <c r="K2" s="34">
        <f>+D2</f>
        <v>43812</v>
      </c>
      <c r="L2" s="211" t="s">
        <v>402</v>
      </c>
      <c r="M2" s="218" t="s">
        <v>351</v>
      </c>
    </row>
    <row r="3" spans="1:13" x14ac:dyDescent="0.25">
      <c r="A3" t="s">
        <v>273</v>
      </c>
      <c r="B3" t="s">
        <v>454</v>
      </c>
      <c r="C3" s="211" t="s">
        <v>1212</v>
      </c>
      <c r="D3" s="34">
        <v>44344</v>
      </c>
      <c r="F3" s="14">
        <f t="shared" si="0"/>
        <v>4046.7840000000001</v>
      </c>
      <c r="G3" s="220">
        <v>1</v>
      </c>
      <c r="H3" s="221">
        <f t="shared" si="1"/>
        <v>1</v>
      </c>
      <c r="I3" s="14">
        <v>4046.7840000000001</v>
      </c>
      <c r="J3" t="s">
        <v>287</v>
      </c>
      <c r="K3" s="34">
        <f>+D3</f>
        <v>44344</v>
      </c>
      <c r="L3" s="211" t="s">
        <v>1218</v>
      </c>
      <c r="M3" t="s">
        <v>351</v>
      </c>
    </row>
    <row r="4" spans="1:13" x14ac:dyDescent="0.25">
      <c r="A4" t="s">
        <v>273</v>
      </c>
      <c r="B4" t="s">
        <v>766</v>
      </c>
      <c r="C4" s="211" t="s">
        <v>1310</v>
      </c>
      <c r="D4" s="34">
        <v>44347</v>
      </c>
      <c r="F4" s="14">
        <f t="shared" si="0"/>
        <v>246.82499999999999</v>
      </c>
      <c r="G4" s="220">
        <v>1</v>
      </c>
      <c r="H4" s="221">
        <f t="shared" si="1"/>
        <v>1</v>
      </c>
      <c r="I4" s="14">
        <v>246.82499999999999</v>
      </c>
      <c r="J4" t="s">
        <v>1329</v>
      </c>
      <c r="K4" s="34">
        <f>+D4</f>
        <v>44347</v>
      </c>
      <c r="L4" s="211" t="s">
        <v>1322</v>
      </c>
      <c r="M4" s="218" t="s">
        <v>311</v>
      </c>
    </row>
    <row r="5" spans="1:13" x14ac:dyDescent="0.25">
      <c r="A5" t="s">
        <v>273</v>
      </c>
      <c r="B5" t="s">
        <v>766</v>
      </c>
      <c r="C5" s="211" t="s">
        <v>1309</v>
      </c>
      <c r="D5" s="34">
        <v>44349</v>
      </c>
      <c r="F5" s="14">
        <f t="shared" si="0"/>
        <v>1294.356</v>
      </c>
      <c r="G5" s="220">
        <v>1</v>
      </c>
      <c r="H5" s="221">
        <f t="shared" si="1"/>
        <v>1</v>
      </c>
      <c r="I5" s="14">
        <v>1294.356</v>
      </c>
      <c r="J5" t="s">
        <v>1329</v>
      </c>
      <c r="K5" s="34">
        <f>+D5</f>
        <v>44349</v>
      </c>
      <c r="L5" s="211" t="s">
        <v>1321</v>
      </c>
      <c r="M5" s="218" t="s">
        <v>311</v>
      </c>
    </row>
    <row r="6" spans="1:13" x14ac:dyDescent="0.25">
      <c r="A6" t="s">
        <v>273</v>
      </c>
      <c r="B6" t="s">
        <v>285</v>
      </c>
      <c r="C6" s="211" t="s">
        <v>286</v>
      </c>
      <c r="D6" s="34">
        <v>43105</v>
      </c>
      <c r="F6" s="14">
        <f t="shared" si="0"/>
        <v>522.74599999999998</v>
      </c>
      <c r="G6" s="220">
        <v>1</v>
      </c>
      <c r="H6" s="221">
        <f t="shared" si="1"/>
        <v>1</v>
      </c>
      <c r="I6" s="256">
        <v>522.74599999999998</v>
      </c>
      <c r="J6" s="14" t="s">
        <v>287</v>
      </c>
      <c r="K6" s="34">
        <f>D6</f>
        <v>43105</v>
      </c>
      <c r="L6" s="211" t="s">
        <v>288</v>
      </c>
      <c r="M6" s="218" t="s">
        <v>311</v>
      </c>
    </row>
    <row r="7" spans="1:13" x14ac:dyDescent="0.25">
      <c r="A7" t="s">
        <v>273</v>
      </c>
      <c r="B7" t="s">
        <v>289</v>
      </c>
      <c r="C7" s="211" t="s">
        <v>290</v>
      </c>
      <c r="D7" s="34">
        <v>43284</v>
      </c>
      <c r="F7" s="14">
        <f t="shared" si="0"/>
        <v>95.2</v>
      </c>
      <c r="G7" s="220">
        <v>1</v>
      </c>
      <c r="H7" s="221">
        <f t="shared" si="1"/>
        <v>1</v>
      </c>
      <c r="I7" s="256">
        <v>95.2</v>
      </c>
      <c r="J7" s="14" t="s">
        <v>287</v>
      </c>
      <c r="K7" s="34">
        <f>D7</f>
        <v>43284</v>
      </c>
      <c r="L7" s="211" t="s">
        <v>291</v>
      </c>
      <c r="M7" s="218" t="s">
        <v>311</v>
      </c>
    </row>
    <row r="8" spans="1:13" x14ac:dyDescent="0.25">
      <c r="A8" t="s">
        <v>273</v>
      </c>
      <c r="B8" t="s">
        <v>289</v>
      </c>
      <c r="C8" s="211" t="s">
        <v>292</v>
      </c>
      <c r="D8" s="34">
        <v>43287</v>
      </c>
      <c r="F8" s="14">
        <f t="shared" si="0"/>
        <v>303.45</v>
      </c>
      <c r="G8" s="220">
        <v>1</v>
      </c>
      <c r="H8" s="221">
        <f t="shared" si="1"/>
        <v>1</v>
      </c>
      <c r="I8" s="256">
        <v>303.45</v>
      </c>
      <c r="J8" s="14" t="s">
        <v>287</v>
      </c>
      <c r="K8" s="34">
        <f>D8</f>
        <v>43287</v>
      </c>
      <c r="L8" s="211" t="s">
        <v>293</v>
      </c>
      <c r="M8" s="218" t="s">
        <v>311</v>
      </c>
    </row>
    <row r="9" spans="1:13" x14ac:dyDescent="0.25">
      <c r="A9" t="s">
        <v>273</v>
      </c>
      <c r="B9" t="s">
        <v>413</v>
      </c>
      <c r="C9" s="211" t="s">
        <v>422</v>
      </c>
      <c r="D9" s="34">
        <v>43845</v>
      </c>
      <c r="F9" s="14">
        <f t="shared" si="0"/>
        <v>60.1</v>
      </c>
      <c r="G9" s="220">
        <v>1</v>
      </c>
      <c r="H9" s="221">
        <f t="shared" si="1"/>
        <v>1</v>
      </c>
      <c r="I9" s="14">
        <v>60.1</v>
      </c>
      <c r="J9" t="s">
        <v>287</v>
      </c>
      <c r="K9" s="34">
        <f t="shared" ref="K9:K42" si="2">+D9</f>
        <v>43845</v>
      </c>
      <c r="L9" s="211" t="s">
        <v>423</v>
      </c>
      <c r="M9" s="218" t="s">
        <v>311</v>
      </c>
    </row>
    <row r="10" spans="1:13" x14ac:dyDescent="0.25">
      <c r="A10" t="s">
        <v>273</v>
      </c>
      <c r="B10" t="s">
        <v>226</v>
      </c>
      <c r="C10" s="211" t="s">
        <v>440</v>
      </c>
      <c r="D10" s="34">
        <v>43900</v>
      </c>
      <c r="F10" s="14">
        <f t="shared" si="0"/>
        <v>115.083</v>
      </c>
      <c r="G10" s="220">
        <v>1</v>
      </c>
      <c r="H10" s="221">
        <f t="shared" si="1"/>
        <v>1</v>
      </c>
      <c r="I10" s="14">
        <v>115.083</v>
      </c>
      <c r="J10" t="s">
        <v>287</v>
      </c>
      <c r="K10" s="34">
        <f t="shared" si="2"/>
        <v>43900</v>
      </c>
      <c r="L10" s="211" t="s">
        <v>441</v>
      </c>
      <c r="M10" s="218" t="s">
        <v>311</v>
      </c>
    </row>
    <row r="11" spans="1:13" x14ac:dyDescent="0.25">
      <c r="A11" t="s">
        <v>273</v>
      </c>
      <c r="B11" t="s">
        <v>669</v>
      </c>
      <c r="C11" s="211" t="s">
        <v>667</v>
      </c>
      <c r="D11" s="34">
        <v>44111</v>
      </c>
      <c r="F11" s="14">
        <f t="shared" si="0"/>
        <v>356.16699999999997</v>
      </c>
      <c r="G11" s="220">
        <v>1</v>
      </c>
      <c r="H11" s="221">
        <f t="shared" si="1"/>
        <v>1</v>
      </c>
      <c r="I11" s="14">
        <v>356.16699999999997</v>
      </c>
      <c r="J11" t="s">
        <v>287</v>
      </c>
      <c r="K11" s="34">
        <f t="shared" si="2"/>
        <v>44111</v>
      </c>
      <c r="L11" s="211" t="s">
        <v>668</v>
      </c>
      <c r="M11" s="218" t="s">
        <v>311</v>
      </c>
    </row>
    <row r="12" spans="1:13" x14ac:dyDescent="0.25">
      <c r="A12" t="s">
        <v>273</v>
      </c>
      <c r="B12" t="s">
        <v>563</v>
      </c>
      <c r="C12" s="211" t="s">
        <v>803</v>
      </c>
      <c r="D12" s="34">
        <v>44204</v>
      </c>
      <c r="F12" s="14">
        <f t="shared" si="0"/>
        <v>193.51</v>
      </c>
      <c r="G12" s="220">
        <v>1</v>
      </c>
      <c r="H12" s="221">
        <f t="shared" si="1"/>
        <v>1</v>
      </c>
      <c r="I12" s="14">
        <v>193.51</v>
      </c>
      <c r="J12" t="s">
        <v>287</v>
      </c>
      <c r="K12" s="34">
        <f t="shared" si="2"/>
        <v>44204</v>
      </c>
      <c r="L12" s="211" t="s">
        <v>804</v>
      </c>
      <c r="M12" s="218" t="s">
        <v>311</v>
      </c>
    </row>
    <row r="13" spans="1:13" x14ac:dyDescent="0.25">
      <c r="A13" t="s">
        <v>273</v>
      </c>
      <c r="B13" t="s">
        <v>563</v>
      </c>
      <c r="C13" s="211" t="s">
        <v>828</v>
      </c>
      <c r="D13" s="34">
        <v>44217</v>
      </c>
      <c r="F13" s="14">
        <f t="shared" si="0"/>
        <v>591.24800000000005</v>
      </c>
      <c r="G13" s="220">
        <v>1</v>
      </c>
      <c r="H13" s="221">
        <f t="shared" si="1"/>
        <v>1</v>
      </c>
      <c r="I13" s="14">
        <v>591.24800000000005</v>
      </c>
      <c r="J13" t="s">
        <v>287</v>
      </c>
      <c r="K13" s="34">
        <f t="shared" si="2"/>
        <v>44217</v>
      </c>
      <c r="L13" s="211" t="s">
        <v>829</v>
      </c>
      <c r="M13" s="218" t="s">
        <v>311</v>
      </c>
    </row>
    <row r="14" spans="1:13" x14ac:dyDescent="0.25">
      <c r="A14" t="s">
        <v>273</v>
      </c>
      <c r="B14" t="s">
        <v>876</v>
      </c>
      <c r="C14" s="211" t="s">
        <v>872</v>
      </c>
      <c r="D14" s="34">
        <v>44239</v>
      </c>
      <c r="F14" s="14">
        <f t="shared" si="0"/>
        <v>180.88499999999999</v>
      </c>
      <c r="G14" s="220">
        <v>1</v>
      </c>
      <c r="H14" s="221">
        <f t="shared" si="1"/>
        <v>1</v>
      </c>
      <c r="I14" s="14">
        <v>180.88499999999999</v>
      </c>
      <c r="J14" t="s">
        <v>287</v>
      </c>
      <c r="K14" s="34">
        <f t="shared" si="2"/>
        <v>44239</v>
      </c>
      <c r="L14" s="211" t="s">
        <v>874</v>
      </c>
      <c r="M14" s="218" t="s">
        <v>311</v>
      </c>
    </row>
    <row r="15" spans="1:13" x14ac:dyDescent="0.25">
      <c r="A15" t="s">
        <v>273</v>
      </c>
      <c r="B15" t="s">
        <v>563</v>
      </c>
      <c r="C15" s="211" t="s">
        <v>873</v>
      </c>
      <c r="D15" s="34">
        <v>44244</v>
      </c>
      <c r="F15" s="14">
        <f t="shared" si="0"/>
        <v>655.34900000000005</v>
      </c>
      <c r="G15" s="220">
        <v>1</v>
      </c>
      <c r="H15" s="221">
        <f t="shared" si="1"/>
        <v>1</v>
      </c>
      <c r="I15" s="14">
        <v>655.34900000000005</v>
      </c>
      <c r="J15" t="s">
        <v>287</v>
      </c>
      <c r="K15" s="34">
        <f t="shared" si="2"/>
        <v>44244</v>
      </c>
      <c r="L15" s="211" t="s">
        <v>875</v>
      </c>
      <c r="M15" s="218" t="s">
        <v>311</v>
      </c>
    </row>
    <row r="16" spans="1:13" x14ac:dyDescent="0.25">
      <c r="A16" t="s">
        <v>273</v>
      </c>
      <c r="B16" t="s">
        <v>916</v>
      </c>
      <c r="C16" s="211" t="s">
        <v>914</v>
      </c>
      <c r="D16" s="34">
        <v>44258</v>
      </c>
      <c r="F16" s="14">
        <f t="shared" si="0"/>
        <v>2592.0709999999999</v>
      </c>
      <c r="G16" s="220">
        <v>1</v>
      </c>
      <c r="H16" s="221">
        <f t="shared" si="1"/>
        <v>1</v>
      </c>
      <c r="I16" s="14">
        <v>2592.0709999999999</v>
      </c>
      <c r="J16" t="s">
        <v>287</v>
      </c>
      <c r="K16" s="34">
        <f t="shared" si="2"/>
        <v>44258</v>
      </c>
      <c r="L16" s="211" t="s">
        <v>915</v>
      </c>
      <c r="M16" s="218" t="s">
        <v>311</v>
      </c>
    </row>
    <row r="17" spans="1:13" x14ac:dyDescent="0.25">
      <c r="A17" t="s">
        <v>273</v>
      </c>
      <c r="B17" t="s">
        <v>949</v>
      </c>
      <c r="C17" s="211" t="s">
        <v>943</v>
      </c>
      <c r="D17" s="34">
        <v>44271</v>
      </c>
      <c r="F17" s="14">
        <f t="shared" si="0"/>
        <v>982.255</v>
      </c>
      <c r="G17" s="220">
        <v>1</v>
      </c>
      <c r="H17" s="221">
        <f t="shared" si="1"/>
        <v>1</v>
      </c>
      <c r="I17" s="14">
        <v>982.255</v>
      </c>
      <c r="J17" t="s">
        <v>287</v>
      </c>
      <c r="K17" s="34">
        <f t="shared" si="2"/>
        <v>44271</v>
      </c>
      <c r="L17" s="211" t="s">
        <v>946</v>
      </c>
      <c r="M17" s="218" t="s">
        <v>311</v>
      </c>
    </row>
    <row r="18" spans="1:13" x14ac:dyDescent="0.25">
      <c r="A18" t="s">
        <v>273</v>
      </c>
      <c r="B18" t="s">
        <v>674</v>
      </c>
      <c r="C18" s="211" t="s">
        <v>942</v>
      </c>
      <c r="D18" s="34">
        <v>44271</v>
      </c>
      <c r="F18" s="14">
        <f t="shared" si="0"/>
        <v>32163.88</v>
      </c>
      <c r="G18" s="220">
        <v>1</v>
      </c>
      <c r="H18" s="221">
        <f t="shared" si="1"/>
        <v>1</v>
      </c>
      <c r="I18" s="14">
        <v>32163.88</v>
      </c>
      <c r="J18" t="s">
        <v>287</v>
      </c>
      <c r="K18" s="34">
        <f t="shared" si="2"/>
        <v>44271</v>
      </c>
      <c r="L18" s="211" t="s">
        <v>945</v>
      </c>
      <c r="M18" s="218" t="s">
        <v>311</v>
      </c>
    </row>
    <row r="19" spans="1:13" x14ac:dyDescent="0.25">
      <c r="A19" t="s">
        <v>273</v>
      </c>
      <c r="B19" t="s">
        <v>451</v>
      </c>
      <c r="C19" s="211" t="s">
        <v>988</v>
      </c>
      <c r="D19" s="34">
        <v>44295</v>
      </c>
      <c r="F19" s="14">
        <f t="shared" si="0"/>
        <v>337.97</v>
      </c>
      <c r="G19" s="220">
        <v>1</v>
      </c>
      <c r="H19" s="221">
        <f t="shared" si="1"/>
        <v>1</v>
      </c>
      <c r="I19" s="14">
        <v>337.97</v>
      </c>
      <c r="J19" t="s">
        <v>287</v>
      </c>
      <c r="K19" s="34">
        <f t="shared" si="2"/>
        <v>44295</v>
      </c>
      <c r="L19" s="211" t="s">
        <v>990</v>
      </c>
      <c r="M19" s="218" t="s">
        <v>311</v>
      </c>
    </row>
    <row r="20" spans="1:13" x14ac:dyDescent="0.25">
      <c r="A20" t="s">
        <v>273</v>
      </c>
      <c r="B20" t="s">
        <v>674</v>
      </c>
      <c r="C20" s="211" t="s">
        <v>987</v>
      </c>
      <c r="D20" s="34">
        <v>44295</v>
      </c>
      <c r="F20" s="14">
        <f t="shared" si="0"/>
        <v>15933.084999999999</v>
      </c>
      <c r="G20" s="220">
        <v>1</v>
      </c>
      <c r="H20" s="221">
        <f t="shared" si="1"/>
        <v>1</v>
      </c>
      <c r="I20" s="14">
        <v>15933.084999999999</v>
      </c>
      <c r="J20" t="s">
        <v>287</v>
      </c>
      <c r="K20" s="34">
        <f t="shared" si="2"/>
        <v>44295</v>
      </c>
      <c r="L20" s="211" t="s">
        <v>989</v>
      </c>
      <c r="M20" s="218" t="s">
        <v>311</v>
      </c>
    </row>
    <row r="21" spans="1:13" x14ac:dyDescent="0.25">
      <c r="A21" t="s">
        <v>273</v>
      </c>
      <c r="B21" t="s">
        <v>563</v>
      </c>
      <c r="C21" s="211" t="s">
        <v>1084</v>
      </c>
      <c r="D21" s="34">
        <v>44319</v>
      </c>
      <c r="F21" s="14">
        <f t="shared" si="0"/>
        <v>105.98399999999999</v>
      </c>
      <c r="G21" s="220">
        <v>1</v>
      </c>
      <c r="H21" s="221">
        <f t="shared" si="1"/>
        <v>1</v>
      </c>
      <c r="I21" s="14">
        <v>105.98399999999999</v>
      </c>
      <c r="J21" t="s">
        <v>287</v>
      </c>
      <c r="K21" s="34">
        <f t="shared" si="2"/>
        <v>44319</v>
      </c>
      <c r="L21" s="211" t="s">
        <v>1086</v>
      </c>
      <c r="M21" s="218" t="s">
        <v>311</v>
      </c>
    </row>
    <row r="22" spans="1:13" x14ac:dyDescent="0.25">
      <c r="A22" t="s">
        <v>273</v>
      </c>
      <c r="B22" t="s">
        <v>1023</v>
      </c>
      <c r="C22" s="211" t="s">
        <v>1085</v>
      </c>
      <c r="D22" s="34">
        <v>44319</v>
      </c>
      <c r="F22" s="14">
        <f t="shared" si="0"/>
        <v>307.85700000000003</v>
      </c>
      <c r="G22" s="220">
        <v>1</v>
      </c>
      <c r="H22" s="221">
        <f t="shared" si="1"/>
        <v>1</v>
      </c>
      <c r="I22" s="14">
        <v>307.85700000000003</v>
      </c>
      <c r="J22" t="s">
        <v>287</v>
      </c>
      <c r="K22" s="34">
        <f t="shared" si="2"/>
        <v>44319</v>
      </c>
      <c r="L22" s="211" t="s">
        <v>1087</v>
      </c>
      <c r="M22" s="218" t="s">
        <v>311</v>
      </c>
    </row>
    <row r="23" spans="1:13" x14ac:dyDescent="0.25">
      <c r="A23" t="s">
        <v>273</v>
      </c>
      <c r="B23" t="s">
        <v>983</v>
      </c>
      <c r="C23" s="211" t="s">
        <v>1126</v>
      </c>
      <c r="D23" s="34">
        <v>44335</v>
      </c>
      <c r="F23" s="14">
        <f t="shared" si="0"/>
        <v>803.7</v>
      </c>
      <c r="G23" s="220">
        <v>1</v>
      </c>
      <c r="H23" s="221">
        <f t="shared" si="1"/>
        <v>1</v>
      </c>
      <c r="I23" s="14">
        <v>803.7</v>
      </c>
      <c r="J23" t="s">
        <v>287</v>
      </c>
      <c r="K23" s="34">
        <f t="shared" si="2"/>
        <v>44335</v>
      </c>
      <c r="L23" s="211" t="s">
        <v>1130</v>
      </c>
      <c r="M23" s="218" t="s">
        <v>311</v>
      </c>
    </row>
    <row r="24" spans="1:13" x14ac:dyDescent="0.25">
      <c r="A24" t="s">
        <v>273</v>
      </c>
      <c r="B24" t="s">
        <v>674</v>
      </c>
      <c r="C24" s="211" t="s">
        <v>1124</v>
      </c>
      <c r="D24" s="34">
        <v>44335</v>
      </c>
      <c r="F24" s="14">
        <f t="shared" si="0"/>
        <v>16735.637999999999</v>
      </c>
      <c r="G24" s="220">
        <v>1</v>
      </c>
      <c r="H24" s="221">
        <f t="shared" si="1"/>
        <v>1</v>
      </c>
      <c r="I24" s="14">
        <v>16735.637999999999</v>
      </c>
      <c r="J24" t="s">
        <v>287</v>
      </c>
      <c r="K24" s="34">
        <f t="shared" si="2"/>
        <v>44335</v>
      </c>
      <c r="L24" s="211" t="s">
        <v>1128</v>
      </c>
      <c r="M24" s="218" t="s">
        <v>311</v>
      </c>
    </row>
    <row r="25" spans="1:13" x14ac:dyDescent="0.25">
      <c r="A25" t="s">
        <v>273</v>
      </c>
      <c r="B25" t="s">
        <v>451</v>
      </c>
      <c r="C25" s="211" t="s">
        <v>1127</v>
      </c>
      <c r="D25" s="34">
        <v>44335</v>
      </c>
      <c r="F25" s="14">
        <f t="shared" si="0"/>
        <v>460.7</v>
      </c>
      <c r="G25" s="220">
        <v>1</v>
      </c>
      <c r="H25" s="221">
        <f t="shared" si="1"/>
        <v>1</v>
      </c>
      <c r="I25" s="14">
        <v>460.7</v>
      </c>
      <c r="J25" t="s">
        <v>287</v>
      </c>
      <c r="K25" s="34">
        <f t="shared" si="2"/>
        <v>44335</v>
      </c>
      <c r="L25" s="211" t="s">
        <v>1131</v>
      </c>
      <c r="M25" s="218" t="s">
        <v>311</v>
      </c>
    </row>
    <row r="26" spans="1:13" x14ac:dyDescent="0.25">
      <c r="A26" t="s">
        <v>273</v>
      </c>
      <c r="B26" t="s">
        <v>563</v>
      </c>
      <c r="C26" s="211" t="s">
        <v>1125</v>
      </c>
      <c r="D26" s="34">
        <v>44335</v>
      </c>
      <c r="F26" s="14">
        <f t="shared" si="0"/>
        <v>136.328</v>
      </c>
      <c r="G26" s="220">
        <v>1</v>
      </c>
      <c r="H26" s="221">
        <f t="shared" si="1"/>
        <v>1</v>
      </c>
      <c r="I26" s="14">
        <v>136.328</v>
      </c>
      <c r="J26" t="s">
        <v>287</v>
      </c>
      <c r="K26" s="34">
        <f t="shared" si="2"/>
        <v>44335</v>
      </c>
      <c r="L26" s="211" t="s">
        <v>1129</v>
      </c>
      <c r="M26" s="218" t="s">
        <v>311</v>
      </c>
    </row>
    <row r="27" spans="1:13" x14ac:dyDescent="0.25">
      <c r="A27" t="s">
        <v>273</v>
      </c>
      <c r="B27" t="s">
        <v>1222</v>
      </c>
      <c r="C27" s="211" t="s">
        <v>1213</v>
      </c>
      <c r="D27" s="34">
        <v>44344</v>
      </c>
      <c r="F27" s="14">
        <f t="shared" si="0"/>
        <v>80</v>
      </c>
      <c r="G27" s="220">
        <v>1</v>
      </c>
      <c r="H27" s="221">
        <f t="shared" si="1"/>
        <v>1</v>
      </c>
      <c r="I27" s="14">
        <v>80</v>
      </c>
      <c r="J27" t="s">
        <v>287</v>
      </c>
      <c r="K27" s="34">
        <f t="shared" si="2"/>
        <v>44344</v>
      </c>
      <c r="L27" s="211" t="s">
        <v>1219</v>
      </c>
      <c r="M27" s="218" t="s">
        <v>311</v>
      </c>
    </row>
    <row r="28" spans="1:13" x14ac:dyDescent="0.25">
      <c r="A28" t="s">
        <v>273</v>
      </c>
      <c r="B28" t="s">
        <v>1223</v>
      </c>
      <c r="C28" s="211" t="s">
        <v>1215</v>
      </c>
      <c r="D28" s="34">
        <v>44344</v>
      </c>
      <c r="F28" s="14">
        <f t="shared" si="0"/>
        <v>157.84899999999999</v>
      </c>
      <c r="G28" s="220">
        <v>1</v>
      </c>
      <c r="H28" s="221">
        <f t="shared" si="1"/>
        <v>1</v>
      </c>
      <c r="I28" s="14">
        <v>157.84899999999999</v>
      </c>
      <c r="J28" t="s">
        <v>287</v>
      </c>
      <c r="K28" s="34">
        <f t="shared" si="2"/>
        <v>44344</v>
      </c>
      <c r="L28" s="211" t="s">
        <v>1221</v>
      </c>
      <c r="M28" s="218" t="s">
        <v>311</v>
      </c>
    </row>
    <row r="29" spans="1:13" x14ac:dyDescent="0.25">
      <c r="A29" t="s">
        <v>273</v>
      </c>
      <c r="B29" t="s">
        <v>1023</v>
      </c>
      <c r="C29" s="211" t="s">
        <v>1214</v>
      </c>
      <c r="D29" s="34">
        <v>44344</v>
      </c>
      <c r="F29" s="14">
        <f t="shared" si="0"/>
        <v>287.61099999999999</v>
      </c>
      <c r="G29" s="220">
        <v>1</v>
      </c>
      <c r="H29" s="221">
        <f t="shared" si="1"/>
        <v>1</v>
      </c>
      <c r="I29" s="14">
        <v>287.61099999999999</v>
      </c>
      <c r="J29" t="s">
        <v>287</v>
      </c>
      <c r="K29" s="34">
        <f t="shared" si="2"/>
        <v>44344</v>
      </c>
      <c r="L29" s="211" t="s">
        <v>1220</v>
      </c>
      <c r="M29" s="218" t="s">
        <v>311</v>
      </c>
    </row>
    <row r="30" spans="1:13" x14ac:dyDescent="0.25">
      <c r="A30" t="s">
        <v>273</v>
      </c>
      <c r="B30" t="s">
        <v>318</v>
      </c>
      <c r="C30" s="211" t="s">
        <v>1210</v>
      </c>
      <c r="D30" s="34">
        <v>44344</v>
      </c>
      <c r="F30" s="14">
        <f t="shared" si="0"/>
        <v>846.69</v>
      </c>
      <c r="G30" s="220">
        <v>1</v>
      </c>
      <c r="H30" s="221">
        <f t="shared" si="1"/>
        <v>1</v>
      </c>
      <c r="I30" s="14">
        <v>846.69</v>
      </c>
      <c r="J30" t="s">
        <v>287</v>
      </c>
      <c r="K30" s="34">
        <f t="shared" si="2"/>
        <v>44344</v>
      </c>
      <c r="L30" s="211" t="s">
        <v>1216</v>
      </c>
      <c r="M30" s="218" t="s">
        <v>311</v>
      </c>
    </row>
    <row r="31" spans="1:13" x14ac:dyDescent="0.25">
      <c r="A31" t="s">
        <v>273</v>
      </c>
      <c r="B31" t="s">
        <v>1327</v>
      </c>
      <c r="C31" s="211" t="s">
        <v>1305</v>
      </c>
      <c r="D31" s="34">
        <v>44349</v>
      </c>
      <c r="F31" s="14">
        <f t="shared" si="0"/>
        <v>1180.905</v>
      </c>
      <c r="G31" s="220">
        <v>1</v>
      </c>
      <c r="H31" s="221">
        <f t="shared" si="1"/>
        <v>1</v>
      </c>
      <c r="I31" s="14">
        <v>1180.905</v>
      </c>
      <c r="J31" t="s">
        <v>287</v>
      </c>
      <c r="K31" s="34">
        <f t="shared" si="2"/>
        <v>44349</v>
      </c>
      <c r="L31" s="211" t="s">
        <v>1317</v>
      </c>
      <c r="M31" s="218" t="s">
        <v>311</v>
      </c>
    </row>
    <row r="32" spans="1:13" x14ac:dyDescent="0.25">
      <c r="A32" t="s">
        <v>273</v>
      </c>
      <c r="B32" t="s">
        <v>318</v>
      </c>
      <c r="C32" s="211" t="s">
        <v>1304</v>
      </c>
      <c r="D32" s="34">
        <v>44349</v>
      </c>
      <c r="F32" s="14">
        <f t="shared" si="0"/>
        <v>2034.6289999999999</v>
      </c>
      <c r="G32" s="220">
        <v>1</v>
      </c>
      <c r="H32" s="221">
        <f t="shared" si="1"/>
        <v>1</v>
      </c>
      <c r="I32" s="14">
        <v>2034.6289999999999</v>
      </c>
      <c r="J32" t="s">
        <v>287</v>
      </c>
      <c r="K32" s="34">
        <f t="shared" si="2"/>
        <v>44349</v>
      </c>
      <c r="L32" s="211" t="s">
        <v>1316</v>
      </c>
      <c r="M32" s="218" t="s">
        <v>311</v>
      </c>
    </row>
    <row r="33" spans="1:13" x14ac:dyDescent="0.25">
      <c r="A33" t="s">
        <v>273</v>
      </c>
      <c r="B33" t="s">
        <v>451</v>
      </c>
      <c r="C33" s="211" t="s">
        <v>1312</v>
      </c>
      <c r="D33" s="34">
        <v>44349</v>
      </c>
      <c r="F33" s="14">
        <f t="shared" si="0"/>
        <v>177.15</v>
      </c>
      <c r="G33" s="220">
        <v>1</v>
      </c>
      <c r="H33" s="221">
        <f t="shared" si="1"/>
        <v>1</v>
      </c>
      <c r="I33" s="14">
        <v>177.15</v>
      </c>
      <c r="J33" t="s">
        <v>287</v>
      </c>
      <c r="K33" s="34">
        <f t="shared" si="2"/>
        <v>44349</v>
      </c>
      <c r="L33" s="211" t="s">
        <v>1324</v>
      </c>
      <c r="M33" s="218" t="s">
        <v>311</v>
      </c>
    </row>
    <row r="34" spans="1:13" x14ac:dyDescent="0.25">
      <c r="A34" t="s">
        <v>273</v>
      </c>
      <c r="B34" t="s">
        <v>1203</v>
      </c>
      <c r="C34" s="211" t="s">
        <v>1303</v>
      </c>
      <c r="D34" s="34">
        <v>44349</v>
      </c>
      <c r="F34" s="14">
        <f t="shared" ref="F34:F57" si="3">SUM(I34*G34)</f>
        <v>5196.0150000000003</v>
      </c>
      <c r="G34" s="220">
        <v>1</v>
      </c>
      <c r="H34" s="221">
        <f t="shared" ref="H34:H57" si="4">IF(E34="",1,0)</f>
        <v>1</v>
      </c>
      <c r="I34" s="14">
        <v>5196.0150000000003</v>
      </c>
      <c r="J34" t="s">
        <v>287</v>
      </c>
      <c r="K34" s="34">
        <f t="shared" si="2"/>
        <v>44349</v>
      </c>
      <c r="L34" s="211" t="s">
        <v>1315</v>
      </c>
      <c r="M34" s="218" t="s">
        <v>311</v>
      </c>
    </row>
    <row r="35" spans="1:13" x14ac:dyDescent="0.25">
      <c r="A35" t="s">
        <v>273</v>
      </c>
      <c r="B35" t="s">
        <v>766</v>
      </c>
      <c r="C35" s="211" t="s">
        <v>1307</v>
      </c>
      <c r="D35" s="34">
        <v>44349</v>
      </c>
      <c r="F35" s="14">
        <f t="shared" si="3"/>
        <v>142.303</v>
      </c>
      <c r="G35" s="220">
        <v>1</v>
      </c>
      <c r="H35" s="221">
        <f t="shared" si="4"/>
        <v>1</v>
      </c>
      <c r="I35" s="14">
        <v>142.303</v>
      </c>
      <c r="J35" t="s">
        <v>287</v>
      </c>
      <c r="K35" s="34">
        <f t="shared" si="2"/>
        <v>44349</v>
      </c>
      <c r="L35" s="211" t="s">
        <v>1319</v>
      </c>
      <c r="M35" s="218" t="s">
        <v>311</v>
      </c>
    </row>
    <row r="36" spans="1:13" x14ac:dyDescent="0.25">
      <c r="A36" t="s">
        <v>273</v>
      </c>
      <c r="B36" t="s">
        <v>766</v>
      </c>
      <c r="C36" s="211" t="s">
        <v>1308</v>
      </c>
      <c r="D36" s="34">
        <v>44349</v>
      </c>
      <c r="F36" s="14">
        <f t="shared" si="3"/>
        <v>749.37800000000004</v>
      </c>
      <c r="G36" s="220">
        <v>1</v>
      </c>
      <c r="H36" s="221">
        <f t="shared" si="4"/>
        <v>1</v>
      </c>
      <c r="I36" s="14">
        <v>749.37800000000004</v>
      </c>
      <c r="J36" t="s">
        <v>1330</v>
      </c>
      <c r="K36" s="34">
        <f t="shared" si="2"/>
        <v>44349</v>
      </c>
      <c r="L36" s="211" t="s">
        <v>1320</v>
      </c>
      <c r="M36" s="218" t="s">
        <v>311</v>
      </c>
    </row>
    <row r="37" spans="1:13" x14ac:dyDescent="0.25">
      <c r="A37" t="s">
        <v>273</v>
      </c>
      <c r="B37" t="s">
        <v>766</v>
      </c>
      <c r="C37" s="211" t="s">
        <v>1306</v>
      </c>
      <c r="D37" s="34">
        <v>44351</v>
      </c>
      <c r="E37" s="34">
        <v>44351</v>
      </c>
      <c r="F37" s="14">
        <f t="shared" si="3"/>
        <v>380.32299999999998</v>
      </c>
      <c r="G37" s="220">
        <v>1</v>
      </c>
      <c r="H37" s="221">
        <f t="shared" si="4"/>
        <v>0</v>
      </c>
      <c r="I37" s="14">
        <v>380.32299999999998</v>
      </c>
      <c r="J37" t="s">
        <v>1224</v>
      </c>
      <c r="K37" s="34">
        <f t="shared" si="2"/>
        <v>44351</v>
      </c>
      <c r="L37" s="211" t="s">
        <v>1318</v>
      </c>
    </row>
    <row r="38" spans="1:13" x14ac:dyDescent="0.25">
      <c r="A38" t="s">
        <v>273</v>
      </c>
      <c r="B38" t="s">
        <v>948</v>
      </c>
      <c r="C38" s="211" t="s">
        <v>944</v>
      </c>
      <c r="D38" s="34">
        <v>44272</v>
      </c>
      <c r="E38" s="34">
        <v>44280</v>
      </c>
      <c r="F38" s="14">
        <f t="shared" si="3"/>
        <v>241.95</v>
      </c>
      <c r="G38" s="220">
        <v>1</v>
      </c>
      <c r="H38" s="221">
        <f t="shared" si="4"/>
        <v>0</v>
      </c>
      <c r="I38" s="14">
        <v>241.95</v>
      </c>
      <c r="J38" t="s">
        <v>287</v>
      </c>
      <c r="K38" s="34">
        <f t="shared" si="2"/>
        <v>44272</v>
      </c>
      <c r="L38" s="211" t="s">
        <v>947</v>
      </c>
    </row>
    <row r="39" spans="1:13" x14ac:dyDescent="0.25">
      <c r="A39" t="s">
        <v>273</v>
      </c>
      <c r="B39" t="s">
        <v>755</v>
      </c>
      <c r="C39" s="211" t="s">
        <v>1211</v>
      </c>
      <c r="D39" s="34">
        <v>44341</v>
      </c>
      <c r="E39" s="34">
        <v>44344</v>
      </c>
      <c r="F39" s="14">
        <f t="shared" si="3"/>
        <v>0</v>
      </c>
      <c r="G39" s="220">
        <v>1</v>
      </c>
      <c r="H39" s="221">
        <f t="shared" si="4"/>
        <v>0</v>
      </c>
      <c r="I39" s="14">
        <v>0</v>
      </c>
      <c r="J39" t="s">
        <v>287</v>
      </c>
      <c r="K39" s="34">
        <f t="shared" si="2"/>
        <v>44341</v>
      </c>
      <c r="L39" s="211" t="s">
        <v>1217</v>
      </c>
    </row>
    <row r="40" spans="1:13" x14ac:dyDescent="0.25">
      <c r="A40" t="s">
        <v>273</v>
      </c>
      <c r="B40" t="s">
        <v>1326</v>
      </c>
      <c r="C40" s="211" t="s">
        <v>1302</v>
      </c>
      <c r="D40" s="34">
        <v>44349</v>
      </c>
      <c r="E40" s="34">
        <v>44351</v>
      </c>
      <c r="F40" s="14">
        <f t="shared" si="3"/>
        <v>270.60000000000002</v>
      </c>
      <c r="G40" s="220">
        <v>1</v>
      </c>
      <c r="H40" s="221">
        <f t="shared" si="4"/>
        <v>0</v>
      </c>
      <c r="I40" s="14">
        <v>270.60000000000002</v>
      </c>
      <c r="J40" t="s">
        <v>287</v>
      </c>
      <c r="K40" s="34">
        <f t="shared" si="2"/>
        <v>44349</v>
      </c>
      <c r="L40" s="211" t="s">
        <v>1314</v>
      </c>
    </row>
    <row r="41" spans="1:13" x14ac:dyDescent="0.25">
      <c r="A41" t="s">
        <v>273</v>
      </c>
      <c r="B41" t="s">
        <v>948</v>
      </c>
      <c r="C41" s="211" t="s">
        <v>1311</v>
      </c>
      <c r="D41" s="34">
        <v>44350</v>
      </c>
      <c r="E41" s="34">
        <v>44351</v>
      </c>
      <c r="F41" s="14">
        <f t="shared" si="3"/>
        <v>198.6</v>
      </c>
      <c r="G41" s="220">
        <v>1</v>
      </c>
      <c r="H41" s="221">
        <f t="shared" si="4"/>
        <v>0</v>
      </c>
      <c r="I41" s="14">
        <v>198.6</v>
      </c>
      <c r="J41" t="s">
        <v>287</v>
      </c>
      <c r="K41" s="34">
        <f t="shared" si="2"/>
        <v>44350</v>
      </c>
      <c r="L41" s="211" t="s">
        <v>1323</v>
      </c>
    </row>
    <row r="42" spans="1:13" x14ac:dyDescent="0.25">
      <c r="A42" t="s">
        <v>273</v>
      </c>
      <c r="B42" t="s">
        <v>1328</v>
      </c>
      <c r="C42" s="211" t="s">
        <v>1313</v>
      </c>
      <c r="D42" s="34">
        <v>44351</v>
      </c>
      <c r="E42" s="34">
        <v>44351</v>
      </c>
      <c r="F42" s="14">
        <f t="shared" si="3"/>
        <v>180.80600000000001</v>
      </c>
      <c r="G42" s="220">
        <v>1</v>
      </c>
      <c r="H42" s="221">
        <f t="shared" si="4"/>
        <v>0</v>
      </c>
      <c r="I42" s="14">
        <v>180.80600000000001</v>
      </c>
      <c r="J42" t="s">
        <v>287</v>
      </c>
      <c r="K42" s="34">
        <f t="shared" si="2"/>
        <v>44351</v>
      </c>
      <c r="L42" s="211" t="s">
        <v>1325</v>
      </c>
    </row>
    <row r="43" spans="1:13" x14ac:dyDescent="0.25">
      <c r="F43" s="14">
        <f t="shared" si="3"/>
        <v>0</v>
      </c>
      <c r="G43" s="220">
        <v>1</v>
      </c>
      <c r="H43" s="221">
        <f t="shared" si="4"/>
        <v>1</v>
      </c>
    </row>
    <row r="44" spans="1:13" x14ac:dyDescent="0.25">
      <c r="F44" s="14">
        <f t="shared" si="3"/>
        <v>0</v>
      </c>
      <c r="G44" s="220">
        <v>1</v>
      </c>
      <c r="H44" s="221">
        <f t="shared" si="4"/>
        <v>1</v>
      </c>
    </row>
    <row r="45" spans="1:13" x14ac:dyDescent="0.25">
      <c r="F45" s="14">
        <f t="shared" si="3"/>
        <v>0</v>
      </c>
      <c r="G45" s="220">
        <v>1</v>
      </c>
      <c r="H45" s="221">
        <f t="shared" si="4"/>
        <v>1</v>
      </c>
    </row>
    <row r="46" spans="1:13" x14ac:dyDescent="0.25">
      <c r="F46" s="14">
        <f t="shared" si="3"/>
        <v>0</v>
      </c>
      <c r="G46" s="220">
        <v>1</v>
      </c>
      <c r="H46" s="221">
        <f t="shared" si="4"/>
        <v>1</v>
      </c>
    </row>
    <row r="47" spans="1:13" x14ac:dyDescent="0.25">
      <c r="F47" s="14">
        <f t="shared" si="3"/>
        <v>0</v>
      </c>
      <c r="G47" s="220">
        <v>1</v>
      </c>
      <c r="H47" s="221">
        <f t="shared" si="4"/>
        <v>1</v>
      </c>
    </row>
    <row r="48" spans="1:13" x14ac:dyDescent="0.25">
      <c r="F48" s="14">
        <f t="shared" si="3"/>
        <v>0</v>
      </c>
      <c r="G48" s="220">
        <v>1</v>
      </c>
      <c r="H48" s="221">
        <f t="shared" si="4"/>
        <v>1</v>
      </c>
    </row>
    <row r="49" spans="6:8" x14ac:dyDescent="0.25">
      <c r="F49" s="14">
        <f t="shared" si="3"/>
        <v>0</v>
      </c>
      <c r="G49" s="220">
        <v>1</v>
      </c>
      <c r="H49" s="221">
        <f t="shared" si="4"/>
        <v>1</v>
      </c>
    </row>
    <row r="50" spans="6:8" x14ac:dyDescent="0.25">
      <c r="F50" s="14">
        <f t="shared" si="3"/>
        <v>0</v>
      </c>
      <c r="G50" s="220">
        <v>1</v>
      </c>
      <c r="H50" s="221">
        <f t="shared" si="4"/>
        <v>1</v>
      </c>
    </row>
    <row r="51" spans="6:8" x14ac:dyDescent="0.25">
      <c r="F51" s="14">
        <f t="shared" si="3"/>
        <v>0</v>
      </c>
      <c r="G51" s="220">
        <v>1</v>
      </c>
      <c r="H51" s="221">
        <f t="shared" si="4"/>
        <v>1</v>
      </c>
    </row>
    <row r="52" spans="6:8" x14ac:dyDescent="0.25">
      <c r="F52" s="14">
        <f t="shared" si="3"/>
        <v>0</v>
      </c>
      <c r="G52" s="220">
        <v>1</v>
      </c>
      <c r="H52" s="221">
        <f t="shared" si="4"/>
        <v>1</v>
      </c>
    </row>
    <row r="53" spans="6:8" x14ac:dyDescent="0.25">
      <c r="F53" s="14">
        <f t="shared" si="3"/>
        <v>0</v>
      </c>
      <c r="G53" s="220">
        <v>1</v>
      </c>
      <c r="H53" s="221">
        <f t="shared" si="4"/>
        <v>1</v>
      </c>
    </row>
    <row r="54" spans="6:8" x14ac:dyDescent="0.25">
      <c r="F54" s="14">
        <f t="shared" si="3"/>
        <v>0</v>
      </c>
      <c r="G54" s="220">
        <v>1</v>
      </c>
      <c r="H54" s="221">
        <f t="shared" si="4"/>
        <v>1</v>
      </c>
    </row>
    <row r="55" spans="6:8" x14ac:dyDescent="0.25">
      <c r="F55" s="14">
        <f t="shared" si="3"/>
        <v>0</v>
      </c>
      <c r="G55" s="220">
        <v>1</v>
      </c>
      <c r="H55" s="221">
        <f t="shared" si="4"/>
        <v>1</v>
      </c>
    </row>
    <row r="56" spans="6:8" x14ac:dyDescent="0.25">
      <c r="F56" s="14">
        <f t="shared" si="3"/>
        <v>0</v>
      </c>
      <c r="G56" s="220">
        <v>1</v>
      </c>
      <c r="H56" s="221">
        <f t="shared" si="4"/>
        <v>1</v>
      </c>
    </row>
    <row r="57" spans="6:8" x14ac:dyDescent="0.25">
      <c r="F57" s="14">
        <f t="shared" si="3"/>
        <v>0</v>
      </c>
      <c r="G57" s="220">
        <v>1</v>
      </c>
      <c r="H57" s="221">
        <f t="shared" si="4"/>
        <v>1</v>
      </c>
    </row>
    <row r="58" spans="6:8" x14ac:dyDescent="0.25">
      <c r="F58" s="14">
        <f t="shared" ref="F58:F63" si="5">SUM(I58*G58)</f>
        <v>0</v>
      </c>
      <c r="G58" s="220">
        <v>1</v>
      </c>
      <c r="H58" s="221">
        <f t="shared" ref="H58:H63" si="6">IF(E58="",1,0)</f>
        <v>1</v>
      </c>
    </row>
    <row r="59" spans="6:8" x14ac:dyDescent="0.25">
      <c r="F59" s="14">
        <f t="shared" si="5"/>
        <v>0</v>
      </c>
      <c r="G59" s="220">
        <v>1</v>
      </c>
      <c r="H59" s="221">
        <f t="shared" si="6"/>
        <v>1</v>
      </c>
    </row>
    <row r="60" spans="6:8" x14ac:dyDescent="0.25">
      <c r="F60" s="14">
        <f t="shared" si="5"/>
        <v>0</v>
      </c>
      <c r="G60" s="220">
        <v>1</v>
      </c>
      <c r="H60" s="221">
        <f t="shared" si="6"/>
        <v>1</v>
      </c>
    </row>
    <row r="61" spans="6:8" x14ac:dyDescent="0.25">
      <c r="F61" s="14">
        <f t="shared" si="5"/>
        <v>0</v>
      </c>
      <c r="G61" s="220">
        <v>1</v>
      </c>
      <c r="H61" s="221">
        <f t="shared" si="6"/>
        <v>1</v>
      </c>
    </row>
    <row r="62" spans="6:8" x14ac:dyDescent="0.25">
      <c r="F62" s="14">
        <f t="shared" si="5"/>
        <v>0</v>
      </c>
      <c r="G62" s="220">
        <v>1</v>
      </c>
      <c r="H62" s="221">
        <f t="shared" si="6"/>
        <v>1</v>
      </c>
    </row>
    <row r="63" spans="6:8" x14ac:dyDescent="0.25">
      <c r="F63" s="14">
        <f t="shared" si="5"/>
        <v>0</v>
      </c>
      <c r="G63" s="220">
        <v>1</v>
      </c>
      <c r="H63" s="221">
        <f t="shared" si="6"/>
        <v>1</v>
      </c>
    </row>
  </sheetData>
  <autoFilter ref="A1:M7" xr:uid="{00000000-0009-0000-0000-000008000000}">
    <filterColumn colId="6" showButton="0"/>
  </autoFilter>
  <sortState xmlns:xlrd2="http://schemas.microsoft.com/office/spreadsheetml/2017/richdata2" ref="A2:M71">
    <sortCondition ref="M2:M71"/>
    <sortCondition ref="J2:J71"/>
    <sortCondition ref="L2:L71"/>
  </sortState>
  <mergeCells count="1">
    <mergeCell ref="G1:H1"/>
  </mergeCells>
  <pageMargins left="0.7" right="0.7" top="0.75" bottom="0.75" header="0.3" footer="0.3"/>
  <pageSetup paperSize="9" orientation="portrait" horizontalDpi="180" verticalDpi="18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P11"/>
  <sheetViews>
    <sheetView zoomScale="85" zoomScaleNormal="85" workbookViewId="0">
      <selection activeCell="A6" sqref="A6:XFD6"/>
    </sheetView>
  </sheetViews>
  <sheetFormatPr baseColWidth="10" defaultRowHeight="15" x14ac:dyDescent="0.25"/>
  <cols>
    <col min="1" max="1" width="5.7109375" bestFit="1" customWidth="1"/>
    <col min="2" max="2" width="33.28515625" bestFit="1" customWidth="1"/>
    <col min="3" max="3" width="9" bestFit="1" customWidth="1"/>
    <col min="4" max="4" width="10.85546875" style="34" bestFit="1" customWidth="1"/>
    <col min="5" max="5" width="11.42578125" style="34" bestFit="1" customWidth="1"/>
    <col min="6" max="6" width="11" bestFit="1" customWidth="1"/>
    <col min="7" max="7" width="2.140625" style="14" bestFit="1" customWidth="1"/>
    <col min="8" max="8" width="2" bestFit="1" customWidth="1"/>
    <col min="9" max="9" width="11" style="14" bestFit="1" customWidth="1"/>
    <col min="10" max="10" width="10.85546875" style="34" bestFit="1" customWidth="1"/>
    <col min="11" max="11" width="8.140625" bestFit="1" customWidth="1"/>
    <col min="12" max="12" width="13.85546875" bestFit="1" customWidth="1"/>
    <col min="16" max="16" width="11.42578125" style="14"/>
  </cols>
  <sheetData>
    <row r="1" spans="1:16" s="217" customFormat="1" ht="12.75" x14ac:dyDescent="0.2">
      <c r="A1" s="212" t="s">
        <v>263</v>
      </c>
      <c r="B1" s="212" t="s">
        <v>264</v>
      </c>
      <c r="C1" s="213" t="s">
        <v>265</v>
      </c>
      <c r="D1" s="214" t="s">
        <v>266</v>
      </c>
      <c r="E1" s="214" t="s">
        <v>267</v>
      </c>
      <c r="F1" s="219" t="s">
        <v>268</v>
      </c>
      <c r="G1" s="697" t="s">
        <v>269</v>
      </c>
      <c r="H1" s="697"/>
      <c r="I1" s="215" t="s">
        <v>270</v>
      </c>
      <c r="J1" s="214" t="s">
        <v>10</v>
      </c>
      <c r="K1" s="216" t="s">
        <v>271</v>
      </c>
      <c r="L1" s="216" t="s">
        <v>272</v>
      </c>
      <c r="P1" s="255"/>
    </row>
    <row r="2" spans="1:16" x14ac:dyDescent="0.25">
      <c r="A2" t="s">
        <v>273</v>
      </c>
      <c r="B2" s="218" t="s">
        <v>284</v>
      </c>
      <c r="C2" s="211" t="s">
        <v>324</v>
      </c>
      <c r="D2" s="34">
        <v>43469</v>
      </c>
      <c r="F2" s="14">
        <f t="shared" ref="F2:F11" si="0">SUM(I2*G2)</f>
        <v>319.52</v>
      </c>
      <c r="G2" s="220">
        <v>1</v>
      </c>
      <c r="H2" s="221">
        <f t="shared" ref="H2:H11" si="1">IF(E2="",1,0)</f>
        <v>1</v>
      </c>
      <c r="I2" s="14">
        <v>319.52</v>
      </c>
      <c r="J2" s="34">
        <f t="shared" ref="J2:J7" si="2">+D2</f>
        <v>43469</v>
      </c>
      <c r="K2" s="211" t="s">
        <v>326</v>
      </c>
      <c r="L2" s="218" t="s">
        <v>311</v>
      </c>
    </row>
    <row r="3" spans="1:16" x14ac:dyDescent="0.25">
      <c r="A3" t="s">
        <v>273</v>
      </c>
      <c r="B3" s="218" t="s">
        <v>328</v>
      </c>
      <c r="C3" s="211" t="s">
        <v>325</v>
      </c>
      <c r="D3" s="34">
        <v>43469</v>
      </c>
      <c r="F3" s="14">
        <f t="shared" si="0"/>
        <v>631.29499999999996</v>
      </c>
      <c r="G3" s="220">
        <v>1</v>
      </c>
      <c r="H3" s="221">
        <f t="shared" si="1"/>
        <v>1</v>
      </c>
      <c r="I3" s="14">
        <v>631.29499999999996</v>
      </c>
      <c r="J3" s="34">
        <f t="shared" si="2"/>
        <v>43469</v>
      </c>
      <c r="K3" s="211" t="s">
        <v>327</v>
      </c>
      <c r="L3" s="218" t="s">
        <v>311</v>
      </c>
    </row>
    <row r="4" spans="1:16" x14ac:dyDescent="0.25">
      <c r="A4" t="s">
        <v>273</v>
      </c>
      <c r="B4" s="218" t="s">
        <v>328</v>
      </c>
      <c r="C4" s="211" t="s">
        <v>332</v>
      </c>
      <c r="D4" s="34">
        <v>43481</v>
      </c>
      <c r="F4" s="14">
        <f t="shared" si="0"/>
        <v>62.738999999999997</v>
      </c>
      <c r="G4" s="220">
        <v>1</v>
      </c>
      <c r="H4" s="221">
        <f t="shared" si="1"/>
        <v>1</v>
      </c>
      <c r="I4" s="14">
        <v>62.738999999999997</v>
      </c>
      <c r="J4" s="34">
        <f t="shared" si="2"/>
        <v>43481</v>
      </c>
      <c r="K4" s="211" t="s">
        <v>333</v>
      </c>
      <c r="L4" s="218" t="s">
        <v>311</v>
      </c>
    </row>
    <row r="5" spans="1:16" x14ac:dyDescent="0.25">
      <c r="A5" t="s">
        <v>273</v>
      </c>
      <c r="B5" s="218" t="s">
        <v>352</v>
      </c>
      <c r="C5" s="211" t="s">
        <v>380</v>
      </c>
      <c r="D5" s="34">
        <v>43741</v>
      </c>
      <c r="F5" s="14">
        <f t="shared" si="0"/>
        <v>141.02000000000001</v>
      </c>
      <c r="G5" s="220">
        <v>1</v>
      </c>
      <c r="H5" s="221">
        <f t="shared" si="1"/>
        <v>1</v>
      </c>
      <c r="I5" s="14">
        <v>141.02000000000001</v>
      </c>
      <c r="J5" s="34">
        <f t="shared" si="2"/>
        <v>43741</v>
      </c>
      <c r="K5" s="211" t="s">
        <v>381</v>
      </c>
      <c r="L5" s="218" t="s">
        <v>311</v>
      </c>
    </row>
    <row r="6" spans="1:16" x14ac:dyDescent="0.25">
      <c r="A6" t="s">
        <v>785</v>
      </c>
      <c r="B6" s="218" t="s">
        <v>1204</v>
      </c>
      <c r="C6" s="211" t="s">
        <v>1205</v>
      </c>
      <c r="D6" s="34">
        <v>44343</v>
      </c>
      <c r="F6" s="14">
        <f t="shared" ref="F6" si="3">SUM(I6*G6)</f>
        <v>384.22199999999998</v>
      </c>
      <c r="G6" s="220">
        <v>1</v>
      </c>
      <c r="H6" s="221">
        <f t="shared" ref="H6" si="4">IF(E6="",1,0)</f>
        <v>1</v>
      </c>
      <c r="I6" s="14">
        <v>384.22199999999998</v>
      </c>
      <c r="J6" s="34">
        <f t="shared" si="2"/>
        <v>44343</v>
      </c>
      <c r="K6" s="211" t="s">
        <v>1206</v>
      </c>
      <c r="L6" s="218"/>
    </row>
    <row r="7" spans="1:16" x14ac:dyDescent="0.25">
      <c r="A7" t="s">
        <v>273</v>
      </c>
      <c r="B7" t="s">
        <v>766</v>
      </c>
      <c r="C7" s="211" t="s">
        <v>839</v>
      </c>
      <c r="D7" s="34">
        <v>44222</v>
      </c>
      <c r="F7" s="14">
        <f t="shared" si="0"/>
        <v>142.18700000000001</v>
      </c>
      <c r="G7" s="220">
        <v>1</v>
      </c>
      <c r="H7" s="221">
        <f t="shared" si="1"/>
        <v>1</v>
      </c>
      <c r="I7" s="14">
        <v>142.18700000000001</v>
      </c>
      <c r="J7" s="34">
        <f t="shared" si="2"/>
        <v>44222</v>
      </c>
      <c r="K7" s="211" t="s">
        <v>840</v>
      </c>
      <c r="L7" t="s">
        <v>311</v>
      </c>
    </row>
    <row r="8" spans="1:16" x14ac:dyDescent="0.25">
      <c r="F8" s="14">
        <f t="shared" si="0"/>
        <v>0</v>
      </c>
      <c r="G8" s="220">
        <v>1</v>
      </c>
      <c r="H8" s="221">
        <f t="shared" si="1"/>
        <v>1</v>
      </c>
    </row>
    <row r="9" spans="1:16" x14ac:dyDescent="0.25">
      <c r="F9" s="14">
        <f t="shared" si="0"/>
        <v>0</v>
      </c>
      <c r="G9" s="220">
        <v>1</v>
      </c>
      <c r="H9" s="221">
        <f t="shared" si="1"/>
        <v>1</v>
      </c>
    </row>
    <row r="10" spans="1:16" x14ac:dyDescent="0.25">
      <c r="F10" s="14">
        <f t="shared" si="0"/>
        <v>0</v>
      </c>
      <c r="G10" s="220">
        <v>1</v>
      </c>
      <c r="H10" s="221">
        <f t="shared" si="1"/>
        <v>1</v>
      </c>
    </row>
    <row r="11" spans="1:16" x14ac:dyDescent="0.25">
      <c r="F11" s="14">
        <f t="shared" si="0"/>
        <v>0</v>
      </c>
      <c r="G11" s="220">
        <v>1</v>
      </c>
      <c r="H11" s="221">
        <f t="shared" si="1"/>
        <v>1</v>
      </c>
    </row>
  </sheetData>
  <autoFilter ref="A1:L5" xr:uid="{00000000-0009-0000-0000-000009000000}">
    <filterColumn colId="6" showButton="0"/>
  </autoFilter>
  <sortState xmlns:xlrd2="http://schemas.microsoft.com/office/spreadsheetml/2017/richdata2" ref="A2:P16">
    <sortCondition ref="L2:L16"/>
    <sortCondition ref="J2:J16"/>
  </sortState>
  <mergeCells count="1">
    <mergeCell ref="G1:H1"/>
  </mergeCells>
  <pageMargins left="0.7" right="0.7" top="0.75" bottom="0.75" header="0.3" footer="0.3"/>
  <pageSetup paperSize="9" orientation="portrait" horizontalDpi="180" verticalDpi="18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P20"/>
  <sheetViews>
    <sheetView zoomScale="85" zoomScaleNormal="85" workbookViewId="0">
      <selection activeCell="A2" sqref="A2:XFD2"/>
    </sheetView>
  </sheetViews>
  <sheetFormatPr baseColWidth="10" defaultRowHeight="15" x14ac:dyDescent="0.25"/>
  <cols>
    <col min="1" max="1" width="5.7109375" bestFit="1" customWidth="1"/>
    <col min="2" max="2" width="32.28515625" bestFit="1" customWidth="1"/>
    <col min="3" max="3" width="9" bestFit="1" customWidth="1"/>
    <col min="4" max="4" width="10.85546875" style="34" bestFit="1" customWidth="1"/>
    <col min="5" max="5" width="11.42578125" style="34"/>
    <col min="6" max="6" width="11" bestFit="1" customWidth="1"/>
    <col min="7" max="7" width="2.140625" bestFit="1" customWidth="1"/>
    <col min="8" max="8" width="2" bestFit="1" customWidth="1"/>
    <col min="9" max="9" width="11.28515625" bestFit="1" customWidth="1"/>
    <col min="10" max="10" width="10.85546875" style="34" bestFit="1" customWidth="1"/>
    <col min="11" max="11" width="8.140625" bestFit="1" customWidth="1"/>
    <col min="12" max="12" width="13.85546875" bestFit="1" customWidth="1"/>
  </cols>
  <sheetData>
    <row r="1" spans="1:16" s="217" customFormat="1" ht="12.75" x14ac:dyDescent="0.2">
      <c r="A1" s="212" t="s">
        <v>263</v>
      </c>
      <c r="B1" s="212" t="s">
        <v>264</v>
      </c>
      <c r="C1" s="213" t="s">
        <v>265</v>
      </c>
      <c r="D1" s="214" t="s">
        <v>266</v>
      </c>
      <c r="E1" s="214" t="s">
        <v>267</v>
      </c>
      <c r="F1" s="219" t="s">
        <v>268</v>
      </c>
      <c r="G1" s="697" t="s">
        <v>269</v>
      </c>
      <c r="H1" s="697"/>
      <c r="I1" s="215" t="s">
        <v>270</v>
      </c>
      <c r="J1" s="214" t="s">
        <v>10</v>
      </c>
      <c r="K1" s="216" t="s">
        <v>271</v>
      </c>
      <c r="L1" s="216" t="s">
        <v>272</v>
      </c>
    </row>
    <row r="2" spans="1:16" x14ac:dyDescent="0.25">
      <c r="A2" t="s">
        <v>785</v>
      </c>
      <c r="B2" s="218" t="s">
        <v>1204</v>
      </c>
      <c r="C2" s="211" t="s">
        <v>561</v>
      </c>
      <c r="D2" s="34">
        <v>44343</v>
      </c>
      <c r="F2" s="14">
        <f t="shared" ref="F2" si="0">SUM(I2*G2)</f>
        <v>640.08399999999995</v>
      </c>
      <c r="G2" s="220">
        <v>1</v>
      </c>
      <c r="H2" s="221">
        <f t="shared" ref="H2" si="1">IF(E2="",1,0)</f>
        <v>1</v>
      </c>
      <c r="I2" s="14">
        <v>640.08399999999995</v>
      </c>
      <c r="J2" s="34">
        <f t="shared" ref="J2" si="2">+D2</f>
        <v>44343</v>
      </c>
      <c r="K2" s="211" t="s">
        <v>1207</v>
      </c>
      <c r="L2" s="218"/>
      <c r="P2" s="14"/>
    </row>
    <row r="3" spans="1:16" x14ac:dyDescent="0.25">
      <c r="F3" s="14">
        <f t="shared" ref="F3:F7" si="3">SUM(I3*G3)</f>
        <v>0</v>
      </c>
      <c r="G3" s="220">
        <v>1</v>
      </c>
      <c r="H3" s="221">
        <f t="shared" ref="H3:H7" si="4">IF(E3="",1,0)</f>
        <v>1</v>
      </c>
    </row>
    <row r="4" spans="1:16" x14ac:dyDescent="0.25">
      <c r="F4" s="14">
        <f t="shared" si="3"/>
        <v>0</v>
      </c>
      <c r="G4" s="220">
        <v>1</v>
      </c>
      <c r="H4" s="221">
        <f t="shared" si="4"/>
        <v>1</v>
      </c>
    </row>
    <row r="5" spans="1:16" x14ac:dyDescent="0.25">
      <c r="F5" s="14">
        <f t="shared" si="3"/>
        <v>0</v>
      </c>
      <c r="G5" s="220">
        <v>1</v>
      </c>
      <c r="H5" s="221">
        <f t="shared" si="4"/>
        <v>1</v>
      </c>
    </row>
    <row r="6" spans="1:16" x14ac:dyDescent="0.25">
      <c r="F6" s="14">
        <f t="shared" si="3"/>
        <v>0</v>
      </c>
      <c r="G6" s="220">
        <v>1</v>
      </c>
      <c r="H6" s="221">
        <f t="shared" si="4"/>
        <v>1</v>
      </c>
    </row>
    <row r="7" spans="1:16" x14ac:dyDescent="0.25">
      <c r="F7" s="14">
        <f t="shared" si="3"/>
        <v>0</v>
      </c>
      <c r="G7" s="220">
        <v>1</v>
      </c>
      <c r="H7" s="221">
        <f t="shared" si="4"/>
        <v>1</v>
      </c>
    </row>
    <row r="8" spans="1:16" x14ac:dyDescent="0.25">
      <c r="F8" s="14">
        <f t="shared" ref="F8:F19" si="5">SUM(I8*G8)</f>
        <v>0</v>
      </c>
      <c r="G8" s="220">
        <v>1</v>
      </c>
      <c r="H8" s="221">
        <f t="shared" ref="H8:H19" si="6">IF(E8="",1,0)</f>
        <v>1</v>
      </c>
    </row>
    <row r="9" spans="1:16" x14ac:dyDescent="0.25">
      <c r="F9" s="14">
        <f t="shared" si="5"/>
        <v>0</v>
      </c>
      <c r="G9" s="220">
        <v>1</v>
      </c>
      <c r="H9" s="221">
        <f t="shared" si="6"/>
        <v>1</v>
      </c>
    </row>
    <row r="10" spans="1:16" x14ac:dyDescent="0.25">
      <c r="F10" s="14">
        <f t="shared" si="5"/>
        <v>0</v>
      </c>
      <c r="G10" s="220">
        <v>1</v>
      </c>
      <c r="H10" s="221">
        <f t="shared" si="6"/>
        <v>1</v>
      </c>
    </row>
    <row r="11" spans="1:16" x14ac:dyDescent="0.25">
      <c r="F11" s="14">
        <f t="shared" si="5"/>
        <v>0</v>
      </c>
      <c r="G11" s="220">
        <v>1</v>
      </c>
      <c r="H11" s="221">
        <f t="shared" si="6"/>
        <v>1</v>
      </c>
    </row>
    <row r="12" spans="1:16" x14ac:dyDescent="0.25">
      <c r="F12" s="14">
        <f t="shared" si="5"/>
        <v>0</v>
      </c>
      <c r="G12" s="220">
        <v>1</v>
      </c>
      <c r="H12" s="221">
        <f t="shared" si="6"/>
        <v>1</v>
      </c>
    </row>
    <row r="13" spans="1:16" x14ac:dyDescent="0.25">
      <c r="F13" s="14">
        <f t="shared" si="5"/>
        <v>0</v>
      </c>
      <c r="G13" s="220">
        <v>1</v>
      </c>
      <c r="H13" s="221">
        <f t="shared" si="6"/>
        <v>1</v>
      </c>
    </row>
    <row r="14" spans="1:16" x14ac:dyDescent="0.25">
      <c r="F14" s="14">
        <f t="shared" si="5"/>
        <v>0</v>
      </c>
      <c r="G14" s="220">
        <v>1</v>
      </c>
      <c r="H14" s="221">
        <f t="shared" si="6"/>
        <v>1</v>
      </c>
    </row>
    <row r="15" spans="1:16" x14ac:dyDescent="0.25">
      <c r="F15" s="14">
        <f t="shared" si="5"/>
        <v>0</v>
      </c>
      <c r="G15" s="220">
        <v>1</v>
      </c>
      <c r="H15" s="221">
        <f t="shared" si="6"/>
        <v>1</v>
      </c>
    </row>
    <row r="16" spans="1:16" x14ac:dyDescent="0.25">
      <c r="F16" s="14">
        <f t="shared" si="5"/>
        <v>0</v>
      </c>
      <c r="G16" s="220">
        <v>1</v>
      </c>
      <c r="H16" s="221">
        <f t="shared" si="6"/>
        <v>1</v>
      </c>
    </row>
    <row r="17" spans="6:8" x14ac:dyDescent="0.25">
      <c r="F17" s="14">
        <f t="shared" si="5"/>
        <v>0</v>
      </c>
      <c r="G17" s="220">
        <v>1</v>
      </c>
      <c r="H17" s="221">
        <f t="shared" si="6"/>
        <v>1</v>
      </c>
    </row>
    <row r="18" spans="6:8" x14ac:dyDescent="0.25">
      <c r="F18" s="14">
        <f t="shared" si="5"/>
        <v>0</v>
      </c>
      <c r="G18" s="220">
        <v>1</v>
      </c>
      <c r="H18" s="221">
        <f t="shared" si="6"/>
        <v>1</v>
      </c>
    </row>
    <row r="19" spans="6:8" x14ac:dyDescent="0.25">
      <c r="F19" s="14">
        <f t="shared" si="5"/>
        <v>0</v>
      </c>
      <c r="G19" s="220">
        <v>1</v>
      </c>
      <c r="H19" s="221">
        <f t="shared" si="6"/>
        <v>1</v>
      </c>
    </row>
    <row r="20" spans="6:8" x14ac:dyDescent="0.25">
      <c r="F20" s="14">
        <f t="shared" ref="F20" si="7">SUM(I20*G20)</f>
        <v>0</v>
      </c>
      <c r="G20" s="220">
        <v>1</v>
      </c>
      <c r="H20" s="221">
        <f t="shared" ref="H20" si="8">IF(E20="",1,0)</f>
        <v>1</v>
      </c>
    </row>
  </sheetData>
  <autoFilter ref="A1:L1" xr:uid="{00000000-0009-0000-0000-00000A000000}">
    <filterColumn colId="6" showButton="0"/>
  </autoFilter>
  <sortState xmlns:xlrd2="http://schemas.microsoft.com/office/spreadsheetml/2017/richdata2" ref="A2:L22">
    <sortCondition ref="L2:L22"/>
    <sortCondition ref="J2:J22"/>
  </sortState>
  <mergeCells count="1">
    <mergeCell ref="G1:H1"/>
  </mergeCells>
  <pageMargins left="0.7" right="0.7" top="0.75" bottom="0.75" header="0.3" footer="0.3"/>
  <pageSetup paperSize="9" orientation="portrait" horizontalDpi="180" verticalDpi="18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L14"/>
  <sheetViews>
    <sheetView zoomScale="85" zoomScaleNormal="85" workbookViewId="0">
      <selection activeCell="E29" sqref="E29"/>
    </sheetView>
  </sheetViews>
  <sheetFormatPr baseColWidth="10" defaultRowHeight="15" x14ac:dyDescent="0.25"/>
  <cols>
    <col min="1" max="1" width="5.7109375" bestFit="1" customWidth="1"/>
    <col min="2" max="2" width="32.28515625" bestFit="1" customWidth="1"/>
    <col min="3" max="3" width="9" bestFit="1" customWidth="1"/>
    <col min="4" max="4" width="10.85546875" style="34" bestFit="1" customWidth="1"/>
    <col min="5" max="5" width="11.42578125" style="34"/>
    <col min="6" max="6" width="11" bestFit="1" customWidth="1"/>
    <col min="7" max="8" width="2" bestFit="1" customWidth="1"/>
    <col min="9" max="9" width="11" style="14" bestFit="1" customWidth="1"/>
    <col min="10" max="10" width="10.85546875" bestFit="1" customWidth="1"/>
    <col min="11" max="11" width="8.140625" bestFit="1" customWidth="1"/>
    <col min="12" max="12" width="13.85546875" bestFit="1" customWidth="1"/>
  </cols>
  <sheetData>
    <row r="1" spans="1:12" s="217" customFormat="1" ht="12.75" x14ac:dyDescent="0.2">
      <c r="A1" s="212" t="s">
        <v>263</v>
      </c>
      <c r="B1" s="212" t="s">
        <v>264</v>
      </c>
      <c r="C1" s="213" t="s">
        <v>265</v>
      </c>
      <c r="D1" s="214" t="s">
        <v>266</v>
      </c>
      <c r="E1" s="214" t="s">
        <v>267</v>
      </c>
      <c r="F1" s="219" t="s">
        <v>268</v>
      </c>
      <c r="G1" s="697" t="s">
        <v>269</v>
      </c>
      <c r="H1" s="697"/>
      <c r="I1" s="215" t="s">
        <v>270</v>
      </c>
      <c r="J1" s="214" t="s">
        <v>10</v>
      </c>
      <c r="K1" s="216" t="s">
        <v>271</v>
      </c>
      <c r="L1" s="216" t="s">
        <v>272</v>
      </c>
    </row>
    <row r="2" spans="1:12" x14ac:dyDescent="0.25">
      <c r="F2" s="14">
        <f>SUM(I2*G2)</f>
        <v>0</v>
      </c>
      <c r="G2" s="220">
        <v>1</v>
      </c>
      <c r="H2" s="221">
        <f>IF(E2="",1,0)</f>
        <v>1</v>
      </c>
    </row>
    <row r="3" spans="1:12" x14ac:dyDescent="0.25">
      <c r="F3" s="14">
        <f>SUM(I3*G3)</f>
        <v>0</v>
      </c>
      <c r="G3" s="220">
        <v>1</v>
      </c>
      <c r="H3" s="221">
        <f>IF(E3="",1,0)</f>
        <v>1</v>
      </c>
    </row>
    <row r="4" spans="1:12" x14ac:dyDescent="0.25">
      <c r="F4" s="14">
        <f>SUM(I4*G4)</f>
        <v>0</v>
      </c>
      <c r="G4" s="220">
        <v>1</v>
      </c>
      <c r="H4" s="221">
        <f>IF(E4="",1,0)</f>
        <v>1</v>
      </c>
    </row>
    <row r="5" spans="1:12" x14ac:dyDescent="0.25">
      <c r="F5" s="14">
        <f t="shared" ref="F5:F12" si="0">SUM(I5*G5)</f>
        <v>0</v>
      </c>
      <c r="G5" s="220">
        <v>1</v>
      </c>
      <c r="H5" s="221">
        <f t="shared" ref="H5:H12" si="1">IF(E5="",1,0)</f>
        <v>1</v>
      </c>
    </row>
    <row r="6" spans="1:12" x14ac:dyDescent="0.25">
      <c r="F6" s="14">
        <f t="shared" si="0"/>
        <v>0</v>
      </c>
      <c r="G6" s="220">
        <v>1</v>
      </c>
      <c r="H6" s="221">
        <f t="shared" si="1"/>
        <v>1</v>
      </c>
    </row>
    <row r="7" spans="1:12" x14ac:dyDescent="0.25">
      <c r="F7" s="14">
        <f t="shared" si="0"/>
        <v>0</v>
      </c>
      <c r="G7" s="220">
        <v>1</v>
      </c>
      <c r="H7" s="221">
        <f t="shared" si="1"/>
        <v>1</v>
      </c>
    </row>
    <row r="8" spans="1:12" x14ac:dyDescent="0.25">
      <c r="F8" s="14">
        <f t="shared" si="0"/>
        <v>0</v>
      </c>
      <c r="G8" s="220">
        <v>1</v>
      </c>
      <c r="H8" s="221">
        <f t="shared" si="1"/>
        <v>1</v>
      </c>
    </row>
    <row r="9" spans="1:12" x14ac:dyDescent="0.25">
      <c r="F9" s="14">
        <f t="shared" si="0"/>
        <v>0</v>
      </c>
      <c r="G9" s="220">
        <v>1</v>
      </c>
      <c r="H9" s="221">
        <f t="shared" si="1"/>
        <v>1</v>
      </c>
    </row>
    <row r="10" spans="1:12" x14ac:dyDescent="0.25">
      <c r="F10" s="14">
        <f t="shared" si="0"/>
        <v>0</v>
      </c>
      <c r="G10" s="220">
        <v>1</v>
      </c>
      <c r="H10" s="221">
        <f t="shared" si="1"/>
        <v>1</v>
      </c>
    </row>
    <row r="11" spans="1:12" x14ac:dyDescent="0.25">
      <c r="F11" s="14">
        <f t="shared" si="0"/>
        <v>0</v>
      </c>
      <c r="G11" s="220">
        <v>1</v>
      </c>
      <c r="H11" s="221">
        <f t="shared" si="1"/>
        <v>1</v>
      </c>
    </row>
    <row r="12" spans="1:12" x14ac:dyDescent="0.25">
      <c r="F12" s="14">
        <f t="shared" si="0"/>
        <v>0</v>
      </c>
      <c r="G12" s="220">
        <v>1</v>
      </c>
      <c r="H12" s="221">
        <f t="shared" si="1"/>
        <v>1</v>
      </c>
    </row>
    <row r="13" spans="1:12" x14ac:dyDescent="0.25">
      <c r="F13" s="14">
        <f>SUM(I13*G13)</f>
        <v>0</v>
      </c>
      <c r="G13" s="220">
        <v>1</v>
      </c>
      <c r="H13" s="221">
        <f>IF(E13="",1,0)</f>
        <v>1</v>
      </c>
    </row>
    <row r="14" spans="1:12" x14ac:dyDescent="0.25">
      <c r="F14" s="14">
        <f>SUM(I14*G14)</f>
        <v>0</v>
      </c>
      <c r="G14" s="220">
        <v>1</v>
      </c>
      <c r="H14" s="221">
        <f>IF(E14="",1,0)</f>
        <v>1</v>
      </c>
    </row>
  </sheetData>
  <sortState xmlns:xlrd2="http://schemas.microsoft.com/office/spreadsheetml/2017/richdata2" ref="A2:L14">
    <sortCondition ref="L2:L14"/>
    <sortCondition ref="J2:J14"/>
  </sortState>
  <mergeCells count="1">
    <mergeCell ref="G1:H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P4"/>
  <sheetViews>
    <sheetView zoomScale="85" zoomScaleNormal="85" workbookViewId="0">
      <selection activeCell="E23" sqref="E23"/>
    </sheetView>
  </sheetViews>
  <sheetFormatPr baseColWidth="10" defaultRowHeight="15" x14ac:dyDescent="0.25"/>
  <cols>
    <col min="1" max="1" width="5.7109375" bestFit="1" customWidth="1"/>
    <col min="2" max="2" width="32.28515625" bestFit="1" customWidth="1"/>
    <col min="3" max="3" width="9" bestFit="1" customWidth="1"/>
    <col min="4" max="4" width="10.85546875" style="34" bestFit="1" customWidth="1"/>
    <col min="5" max="5" width="11.42578125" style="34"/>
    <col min="6" max="6" width="11" bestFit="1" customWidth="1"/>
    <col min="7" max="8" width="2" bestFit="1" customWidth="1"/>
    <col min="9" max="9" width="11" style="14" bestFit="1" customWidth="1"/>
    <col min="10" max="10" width="10.85546875" bestFit="1" customWidth="1"/>
    <col min="11" max="11" width="8.140625" bestFit="1" customWidth="1"/>
    <col min="12" max="12" width="13.85546875" bestFit="1" customWidth="1"/>
  </cols>
  <sheetData>
    <row r="1" spans="1:16" s="217" customFormat="1" ht="12.75" x14ac:dyDescent="0.2">
      <c r="A1" s="212" t="s">
        <v>263</v>
      </c>
      <c r="B1" s="212" t="s">
        <v>264</v>
      </c>
      <c r="C1" s="213" t="s">
        <v>265</v>
      </c>
      <c r="D1" s="214" t="s">
        <v>266</v>
      </c>
      <c r="E1" s="214" t="s">
        <v>267</v>
      </c>
      <c r="F1" s="219" t="s">
        <v>268</v>
      </c>
      <c r="G1" s="697" t="s">
        <v>269</v>
      </c>
      <c r="H1" s="697"/>
      <c r="I1" s="215" t="s">
        <v>270</v>
      </c>
      <c r="J1" s="214" t="s">
        <v>10</v>
      </c>
      <c r="K1" s="216" t="s">
        <v>271</v>
      </c>
      <c r="L1" s="216" t="s">
        <v>272</v>
      </c>
    </row>
    <row r="2" spans="1:16" x14ac:dyDescent="0.25">
      <c r="A2" t="s">
        <v>273</v>
      </c>
      <c r="B2" t="s">
        <v>560</v>
      </c>
      <c r="C2" s="211" t="s">
        <v>561</v>
      </c>
      <c r="D2" s="34">
        <v>44057</v>
      </c>
      <c r="F2" s="14">
        <f>SUM(I2*G2)</f>
        <v>5051.9319999999998</v>
      </c>
      <c r="G2" s="220">
        <v>1</v>
      </c>
      <c r="H2" s="221">
        <f>IF(E2="",1,0)</f>
        <v>1</v>
      </c>
      <c r="I2" s="14">
        <v>5051.9319999999998</v>
      </c>
      <c r="J2" s="34">
        <f>+D2</f>
        <v>44057</v>
      </c>
      <c r="K2" s="211" t="s">
        <v>562</v>
      </c>
      <c r="L2" t="s">
        <v>351</v>
      </c>
    </row>
    <row r="3" spans="1:16" x14ac:dyDescent="0.25">
      <c r="A3" t="s">
        <v>785</v>
      </c>
      <c r="B3" s="218" t="s">
        <v>1204</v>
      </c>
      <c r="C3" s="211" t="s">
        <v>1208</v>
      </c>
      <c r="D3" s="34">
        <v>44343</v>
      </c>
      <c r="F3" s="14">
        <f t="shared" ref="F3" si="0">SUM(I3*G3)</f>
        <v>1240.4829999999999</v>
      </c>
      <c r="G3" s="220">
        <v>1</v>
      </c>
      <c r="H3" s="221">
        <f t="shared" ref="H3" si="1">IF(E3="",1,0)</f>
        <v>1</v>
      </c>
      <c r="I3" s="14">
        <v>1240.4829999999999</v>
      </c>
      <c r="J3" s="34">
        <f t="shared" ref="J3" si="2">+D3</f>
        <v>44343</v>
      </c>
      <c r="K3" s="211" t="s">
        <v>1209</v>
      </c>
      <c r="L3" s="218"/>
      <c r="P3" s="14"/>
    </row>
    <row r="4" spans="1:16" x14ac:dyDescent="0.25">
      <c r="C4" s="211"/>
      <c r="F4" s="14"/>
      <c r="G4" s="220">
        <v>1</v>
      </c>
      <c r="H4" s="221">
        <f>IF(E4="",1,0)</f>
        <v>1</v>
      </c>
      <c r="J4" s="34"/>
      <c r="K4" s="211"/>
    </row>
  </sheetData>
  <mergeCells count="1">
    <mergeCell ref="G1:H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M16"/>
  <sheetViews>
    <sheetView zoomScaleNormal="100" workbookViewId="0">
      <selection activeCell="E27" sqref="E27"/>
    </sheetView>
  </sheetViews>
  <sheetFormatPr baseColWidth="10" defaultRowHeight="15" x14ac:dyDescent="0.25"/>
  <cols>
    <col min="1" max="1" width="10.140625" bestFit="1" customWidth="1"/>
    <col min="2" max="2" width="16.42578125" bestFit="1" customWidth="1"/>
    <col min="3" max="3" width="3.42578125" bestFit="1" customWidth="1"/>
    <col min="4" max="4" width="9.7109375" customWidth="1"/>
    <col min="5" max="5" width="5.7109375" bestFit="1" customWidth="1"/>
    <col min="6" max="6" width="12.28515625" bestFit="1" customWidth="1"/>
    <col min="7" max="7" width="10.85546875" bestFit="1" customWidth="1"/>
    <col min="8" max="8" width="12.28515625" bestFit="1" customWidth="1"/>
    <col min="11" max="11" width="12.42578125" style="14" bestFit="1" customWidth="1"/>
    <col min="13" max="13" width="12.42578125" style="14" bestFit="1" customWidth="1"/>
  </cols>
  <sheetData>
    <row r="1" spans="1:13" x14ac:dyDescent="0.25">
      <c r="A1" s="702" t="s">
        <v>425</v>
      </c>
      <c r="B1" s="702"/>
      <c r="C1" s="702"/>
      <c r="D1" s="702"/>
      <c r="E1" s="702"/>
      <c r="F1" s="702"/>
      <c r="G1" s="702"/>
      <c r="H1" s="702"/>
    </row>
    <row r="2" spans="1:13" ht="15.75" thickBot="1" x14ac:dyDescent="0.3">
      <c r="A2" s="257"/>
      <c r="B2" s="1"/>
      <c r="C2" s="200"/>
      <c r="D2" s="70"/>
      <c r="E2" s="76"/>
      <c r="F2" s="76"/>
      <c r="G2" s="76"/>
      <c r="H2" s="76"/>
    </row>
    <row r="3" spans="1:13" x14ac:dyDescent="0.25">
      <c r="A3" s="703" t="s">
        <v>109</v>
      </c>
      <c r="B3" s="704"/>
      <c r="C3" s="258" t="s">
        <v>87</v>
      </c>
      <c r="D3" s="705">
        <v>0</v>
      </c>
      <c r="E3" s="706"/>
      <c r="F3" s="105">
        <v>0</v>
      </c>
      <c r="G3" s="105">
        <v>0</v>
      </c>
      <c r="H3" s="259">
        <v>0</v>
      </c>
    </row>
    <row r="4" spans="1:13" x14ac:dyDescent="0.25">
      <c r="A4" s="698" t="s">
        <v>110</v>
      </c>
      <c r="B4" s="699"/>
      <c r="C4" s="260" t="s">
        <v>87</v>
      </c>
      <c r="D4" s="700">
        <f>SUM(D12:D12)</f>
        <v>0</v>
      </c>
      <c r="E4" s="701"/>
      <c r="F4" s="78">
        <f>SUM(F12:F12)</f>
        <v>0</v>
      </c>
      <c r="G4" s="78">
        <f>SUM(G12:G12)</f>
        <v>0</v>
      </c>
      <c r="H4" s="261">
        <f>SUM(H12:H12)</f>
        <v>0</v>
      </c>
    </row>
    <row r="5" spans="1:13" x14ac:dyDescent="0.25">
      <c r="A5" s="698" t="s">
        <v>111</v>
      </c>
      <c r="B5" s="699"/>
      <c r="C5" s="260" t="s">
        <v>87</v>
      </c>
      <c r="D5" s="700">
        <f>+D13</f>
        <v>0</v>
      </c>
      <c r="E5" s="701"/>
      <c r="F5" s="78">
        <f t="shared" ref="F5:H6" si="0">+F13</f>
        <v>0</v>
      </c>
      <c r="G5" s="78">
        <f t="shared" si="0"/>
        <v>0</v>
      </c>
      <c r="H5" s="261">
        <f t="shared" si="0"/>
        <v>0</v>
      </c>
    </row>
    <row r="6" spans="1:13" x14ac:dyDescent="0.25">
      <c r="A6" s="698" t="s">
        <v>377</v>
      </c>
      <c r="B6" s="699"/>
      <c r="C6" s="260" t="s">
        <v>87</v>
      </c>
      <c r="D6" s="700">
        <f>+D14</f>
        <v>0</v>
      </c>
      <c r="E6" s="701"/>
      <c r="F6" s="78">
        <f t="shared" si="0"/>
        <v>0</v>
      </c>
      <c r="G6" s="78">
        <f t="shared" si="0"/>
        <v>0</v>
      </c>
      <c r="H6" s="261">
        <f t="shared" si="0"/>
        <v>0</v>
      </c>
    </row>
    <row r="7" spans="1:13" x14ac:dyDescent="0.25">
      <c r="A7" s="698" t="s">
        <v>112</v>
      </c>
      <c r="B7" s="699"/>
      <c r="C7" s="260" t="s">
        <v>87</v>
      </c>
      <c r="D7" s="700">
        <f>SUM(D15:D15)</f>
        <v>0</v>
      </c>
      <c r="E7" s="701"/>
      <c r="F7" s="78">
        <f>SUM(F15:F15)</f>
        <v>0</v>
      </c>
      <c r="G7" s="78">
        <f>SUM(G15:G15)</f>
        <v>0</v>
      </c>
      <c r="H7" s="261">
        <f>SUM(H15:H15)</f>
        <v>0</v>
      </c>
    </row>
    <row r="8" spans="1:13" x14ac:dyDescent="0.25">
      <c r="A8" s="707" t="s">
        <v>50</v>
      </c>
      <c r="B8" s="708"/>
      <c r="C8" s="708"/>
      <c r="D8" s="708"/>
      <c r="E8" s="708"/>
      <c r="F8" s="78">
        <f>SUM(F3:F7)</f>
        <v>0</v>
      </c>
      <c r="G8" s="78">
        <f>SUM(G3:G7)</f>
        <v>0</v>
      </c>
      <c r="H8" s="261">
        <f>SUM(H3:H7)</f>
        <v>0</v>
      </c>
    </row>
    <row r="9" spans="1:13" x14ac:dyDescent="0.25">
      <c r="A9" s="709" t="s">
        <v>113</v>
      </c>
      <c r="B9" s="710"/>
      <c r="C9" s="710"/>
      <c r="D9" s="710"/>
      <c r="E9" s="710"/>
      <c r="F9" s="710"/>
      <c r="G9" s="710"/>
      <c r="H9" s="261">
        <v>0</v>
      </c>
    </row>
    <row r="10" spans="1:13" ht="15.75" thickBot="1" x14ac:dyDescent="0.3">
      <c r="A10" s="711" t="s">
        <v>114</v>
      </c>
      <c r="B10" s="712"/>
      <c r="C10" s="712"/>
      <c r="D10" s="712"/>
      <c r="E10" s="712"/>
      <c r="F10" s="712"/>
      <c r="G10" s="712"/>
      <c r="H10" s="320">
        <f>+H8-H9</f>
        <v>0</v>
      </c>
    </row>
    <row r="11" spans="1:13" ht="15.75" thickBot="1" x14ac:dyDescent="0.3">
      <c r="A11" s="1"/>
      <c r="B11" s="1"/>
      <c r="C11" s="1"/>
      <c r="D11" s="1"/>
      <c r="E11" s="1"/>
      <c r="F11" s="1"/>
      <c r="G11" s="1"/>
      <c r="H11" s="1"/>
    </row>
    <row r="12" spans="1:13" x14ac:dyDescent="0.25">
      <c r="A12" s="244"/>
      <c r="B12" s="245"/>
      <c r="C12" s="246"/>
      <c r="D12" s="247"/>
      <c r="E12" s="248"/>
      <c r="F12" s="248"/>
      <c r="G12" s="248"/>
      <c r="H12" s="249"/>
    </row>
    <row r="13" spans="1:13" s="218" customFormat="1" x14ac:dyDescent="0.25">
      <c r="A13" s="201"/>
      <c r="B13" s="130"/>
      <c r="C13" s="131"/>
      <c r="D13" s="132"/>
      <c r="E13" s="133"/>
      <c r="F13" s="133"/>
      <c r="G13" s="133"/>
      <c r="H13" s="202"/>
      <c r="K13" s="256"/>
      <c r="M13" s="256"/>
    </row>
    <row r="14" spans="1:13" s="218" customFormat="1" x14ac:dyDescent="0.25">
      <c r="A14" s="201"/>
      <c r="B14" s="130"/>
      <c r="C14" s="131"/>
      <c r="D14" s="132"/>
      <c r="E14" s="133"/>
      <c r="F14" s="133"/>
      <c r="G14" s="133"/>
      <c r="H14" s="202"/>
      <c r="K14" s="256"/>
      <c r="M14" s="256"/>
    </row>
    <row r="15" spans="1:13" x14ac:dyDescent="0.25">
      <c r="A15" s="201"/>
      <c r="B15" s="130"/>
      <c r="C15" s="131"/>
      <c r="D15" s="132"/>
      <c r="E15" s="133"/>
      <c r="F15" s="133"/>
      <c r="G15" s="133"/>
      <c r="H15" s="202"/>
    </row>
    <row r="16" spans="1:13" ht="15.75" thickBot="1" x14ac:dyDescent="0.3">
      <c r="A16" s="203"/>
      <c r="B16" s="204"/>
      <c r="C16" s="205"/>
      <c r="D16" s="206"/>
      <c r="E16" s="207"/>
      <c r="F16" s="207"/>
      <c r="G16" s="207"/>
      <c r="H16" s="208"/>
    </row>
  </sheetData>
  <mergeCells count="14">
    <mergeCell ref="A7:B7"/>
    <mergeCell ref="D7:E7"/>
    <mergeCell ref="A8:E8"/>
    <mergeCell ref="A9:G9"/>
    <mergeCell ref="A10:G10"/>
    <mergeCell ref="A6:B6"/>
    <mergeCell ref="D6:E6"/>
    <mergeCell ref="A5:B5"/>
    <mergeCell ref="D5:E5"/>
    <mergeCell ref="A1:H1"/>
    <mergeCell ref="A3:B3"/>
    <mergeCell ref="D3:E3"/>
    <mergeCell ref="A4:B4"/>
    <mergeCell ref="D4:E4"/>
  </mergeCells>
  <pageMargins left="0.7" right="0.7" top="0.75" bottom="0.75" header="0.3" footer="0.3"/>
  <pageSetup paperSize="9" orientation="portrait" horizontalDpi="180" verticalDpi="180" r:id="rId1"/>
  <ignoredErrors>
    <ignoredError sqref="D4:E4 D7:E7 E5" formulaRange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3:H10"/>
  <sheetViews>
    <sheetView workbookViewId="0">
      <selection activeCell="O30" sqref="O30"/>
    </sheetView>
  </sheetViews>
  <sheetFormatPr baseColWidth="10" defaultRowHeight="15" x14ac:dyDescent="0.25"/>
  <cols>
    <col min="1" max="1" width="9" bestFit="1" customWidth="1"/>
    <col min="2" max="2" width="17" bestFit="1" customWidth="1"/>
    <col min="3" max="3" width="3.42578125" bestFit="1" customWidth="1"/>
    <col min="4" max="4" width="16.42578125" customWidth="1"/>
    <col min="5" max="5" width="5.7109375" bestFit="1" customWidth="1"/>
    <col min="6" max="6" width="9.5703125" bestFit="1" customWidth="1"/>
    <col min="7" max="7" width="8.7109375" bestFit="1" customWidth="1"/>
    <col min="8" max="8" width="9.5703125" bestFit="1" customWidth="1"/>
  </cols>
  <sheetData>
    <row r="3" spans="1:8" x14ac:dyDescent="0.25">
      <c r="G3">
        <v>5899.9279999999999</v>
      </c>
    </row>
    <row r="5" spans="1:8" x14ac:dyDescent="0.25">
      <c r="A5" s="265">
        <v>43904</v>
      </c>
      <c r="B5" s="331" t="s">
        <v>89</v>
      </c>
      <c r="C5" s="132" t="s">
        <v>87</v>
      </c>
      <c r="D5" s="132">
        <v>40620</v>
      </c>
      <c r="E5" s="133">
        <v>2.2000000000000002</v>
      </c>
      <c r="F5" s="133">
        <f t="shared" ref="F5:F10" si="0">D5*E5</f>
        <v>89364</v>
      </c>
      <c r="G5" s="76">
        <f t="shared" ref="G5:G10" si="1">+F5*0.19</f>
        <v>16979.16</v>
      </c>
      <c r="H5" s="202">
        <f>+F5+G5</f>
        <v>106343.16</v>
      </c>
    </row>
    <row r="6" spans="1:8" x14ac:dyDescent="0.25">
      <c r="A6" s="349">
        <v>43911</v>
      </c>
      <c r="B6" s="350" t="s">
        <v>89</v>
      </c>
      <c r="C6" s="351" t="s">
        <v>87</v>
      </c>
      <c r="D6" s="351">
        <v>41440</v>
      </c>
      <c r="E6" s="352">
        <v>2.2000000000000002</v>
      </c>
      <c r="F6" s="352">
        <f t="shared" si="0"/>
        <v>91168.000000000015</v>
      </c>
      <c r="G6" s="353">
        <f t="shared" si="1"/>
        <v>17321.920000000002</v>
      </c>
      <c r="H6" s="354">
        <f>+F6+G6</f>
        <v>108489.92000000001</v>
      </c>
    </row>
    <row r="7" spans="1:8" x14ac:dyDescent="0.25">
      <c r="A7" s="265">
        <v>43881</v>
      </c>
      <c r="B7" s="331" t="s">
        <v>312</v>
      </c>
      <c r="C7" s="132" t="s">
        <v>87</v>
      </c>
      <c r="D7" s="132">
        <v>3271</v>
      </c>
      <c r="E7" s="133">
        <v>37</v>
      </c>
      <c r="F7" s="76">
        <f t="shared" si="0"/>
        <v>121027</v>
      </c>
      <c r="G7" s="76">
        <f t="shared" si="1"/>
        <v>22995.13</v>
      </c>
      <c r="H7" s="333">
        <f>+F7+G7+0.6</f>
        <v>144022.73000000001</v>
      </c>
    </row>
    <row r="8" spans="1:8" x14ac:dyDescent="0.25">
      <c r="A8" s="265">
        <v>43900</v>
      </c>
      <c r="B8" s="130" t="s">
        <v>117</v>
      </c>
      <c r="C8" s="131" t="s">
        <v>87</v>
      </c>
      <c r="D8" s="132">
        <v>6511</v>
      </c>
      <c r="E8" s="133">
        <v>4.4000000000000004</v>
      </c>
      <c r="F8" s="133">
        <f t="shared" si="0"/>
        <v>28648.400000000001</v>
      </c>
      <c r="G8" s="133">
        <f t="shared" si="1"/>
        <v>5443.1959999999999</v>
      </c>
      <c r="H8" s="202">
        <f>+F8+G8</f>
        <v>34091.596000000005</v>
      </c>
    </row>
    <row r="9" spans="1:8" x14ac:dyDescent="0.25">
      <c r="A9" s="265"/>
      <c r="B9" s="130"/>
      <c r="C9" s="131"/>
      <c r="D9" s="132"/>
      <c r="E9" s="133"/>
      <c r="F9" s="133"/>
      <c r="G9" s="133"/>
      <c r="H9" s="202"/>
    </row>
    <row r="10" spans="1:8" x14ac:dyDescent="0.25">
      <c r="A10" s="265">
        <v>43939</v>
      </c>
      <c r="B10" s="130" t="s">
        <v>117</v>
      </c>
      <c r="C10" s="131" t="s">
        <v>87</v>
      </c>
      <c r="D10" s="132">
        <v>33380</v>
      </c>
      <c r="E10" s="133">
        <v>4.2</v>
      </c>
      <c r="F10" s="133">
        <f t="shared" si="0"/>
        <v>140196</v>
      </c>
      <c r="G10" s="133">
        <f t="shared" si="1"/>
        <v>26637.24</v>
      </c>
      <c r="H10" s="202">
        <f>+F10+G10</f>
        <v>166833.24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:H6"/>
  <sheetViews>
    <sheetView workbookViewId="0">
      <selection activeCell="O30" sqref="O30"/>
    </sheetView>
  </sheetViews>
  <sheetFormatPr baseColWidth="10" defaultRowHeight="15" x14ac:dyDescent="0.25"/>
  <cols>
    <col min="1" max="1" width="9.140625" bestFit="1" customWidth="1"/>
    <col min="2" max="2" width="7.7109375" bestFit="1" customWidth="1"/>
    <col min="3" max="3" width="3.42578125" bestFit="1" customWidth="1"/>
    <col min="4" max="4" width="8.7109375" customWidth="1"/>
    <col min="5" max="5" width="4.85546875" bestFit="1" customWidth="1"/>
    <col min="6" max="6" width="11" bestFit="1" customWidth="1"/>
    <col min="7" max="7" width="9.7109375" customWidth="1"/>
    <col min="8" max="8" width="10.85546875" customWidth="1"/>
  </cols>
  <sheetData>
    <row r="1" spans="1:8" x14ac:dyDescent="0.25">
      <c r="A1" s="714" t="s">
        <v>532</v>
      </c>
      <c r="B1" s="714"/>
      <c r="C1" s="714"/>
      <c r="D1" s="714"/>
      <c r="E1" s="714"/>
      <c r="F1" s="714"/>
      <c r="G1" s="714"/>
      <c r="H1" s="714"/>
    </row>
    <row r="2" spans="1:8" x14ac:dyDescent="0.25">
      <c r="A2" s="371">
        <v>43893</v>
      </c>
      <c r="B2" s="130" t="s">
        <v>435</v>
      </c>
      <c r="C2" s="131" t="s">
        <v>87</v>
      </c>
      <c r="D2" s="132">
        <v>36180</v>
      </c>
      <c r="E2" s="133">
        <v>1.5</v>
      </c>
      <c r="F2" s="133">
        <f>+D2*E2</f>
        <v>54270</v>
      </c>
      <c r="G2" s="133">
        <f>+F2*0.19</f>
        <v>10311.299999999999</v>
      </c>
      <c r="H2" s="133">
        <f>+F2+G2+0.6</f>
        <v>64581.9</v>
      </c>
    </row>
    <row r="3" spans="1:8" x14ac:dyDescent="0.25">
      <c r="A3" s="371">
        <v>43900</v>
      </c>
      <c r="B3" s="130" t="s">
        <v>435</v>
      </c>
      <c r="C3" s="131" t="s">
        <v>87</v>
      </c>
      <c r="D3" s="132">
        <v>37460</v>
      </c>
      <c r="E3" s="133">
        <v>1.5</v>
      </c>
      <c r="F3" s="133">
        <f>+D3*E3</f>
        <v>56190</v>
      </c>
      <c r="G3" s="133">
        <f>+F3*0.19</f>
        <v>10676.1</v>
      </c>
      <c r="H3" s="133">
        <f>+F3+G3</f>
        <v>66866.100000000006</v>
      </c>
    </row>
    <row r="4" spans="1:8" x14ac:dyDescent="0.25">
      <c r="A4" s="371">
        <v>43992</v>
      </c>
      <c r="B4" s="130" t="s">
        <v>435</v>
      </c>
      <c r="C4" s="131" t="s">
        <v>87</v>
      </c>
      <c r="D4" s="132">
        <v>35260</v>
      </c>
      <c r="E4" s="133">
        <v>1.4</v>
      </c>
      <c r="F4" s="133">
        <f>+D4*E4</f>
        <v>49364</v>
      </c>
      <c r="G4" s="133">
        <f>+F4*0.19</f>
        <v>9379.16</v>
      </c>
      <c r="H4" s="133">
        <f>+F4+G4</f>
        <v>58743.16</v>
      </c>
    </row>
    <row r="5" spans="1:8" x14ac:dyDescent="0.25">
      <c r="F5" s="14">
        <f>SUM(F2:F4)</f>
        <v>159824</v>
      </c>
    </row>
    <row r="6" spans="1:8" x14ac:dyDescent="0.25">
      <c r="A6" s="713" t="s">
        <v>531</v>
      </c>
      <c r="B6" s="713"/>
      <c r="C6" s="713"/>
      <c r="D6" s="713"/>
      <c r="E6" s="713"/>
      <c r="F6" s="372">
        <f>F5*0.14</f>
        <v>22375.360000000001</v>
      </c>
    </row>
  </sheetData>
  <mergeCells count="2">
    <mergeCell ref="A6:E6"/>
    <mergeCell ref="A1:H1"/>
  </mergeCells>
  <pageMargins left="0.7" right="0.7" top="7.3" bottom="0.75" header="0.3" footer="0.3"/>
  <pageSetup paperSize="9" orientation="portrait" horizontalDpi="180" verticalDpi="18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A1:I10"/>
  <sheetViews>
    <sheetView workbookViewId="0">
      <selection activeCell="O30" sqref="O30"/>
    </sheetView>
  </sheetViews>
  <sheetFormatPr baseColWidth="10" defaultRowHeight="15" x14ac:dyDescent="0.25"/>
  <cols>
    <col min="1" max="1" width="3.7109375" bestFit="1" customWidth="1"/>
    <col min="2" max="2" width="9" bestFit="1" customWidth="1"/>
    <col min="3" max="3" width="17" bestFit="1" customWidth="1"/>
    <col min="4" max="4" width="6.28515625" bestFit="1" customWidth="1"/>
    <col min="5" max="5" width="10" bestFit="1" customWidth="1"/>
    <col min="6" max="6" width="8.5703125" bestFit="1" customWidth="1"/>
    <col min="7" max="7" width="9.5703125" bestFit="1" customWidth="1"/>
    <col min="8" max="8" width="8.7109375" bestFit="1" customWidth="1"/>
    <col min="9" max="9" width="10.140625" bestFit="1" customWidth="1"/>
  </cols>
  <sheetData>
    <row r="1" spans="1:9" s="36" customFormat="1" ht="15.75" thickBot="1" x14ac:dyDescent="0.3">
      <c r="B1" s="406" t="s">
        <v>533</v>
      </c>
      <c r="C1" s="407" t="s">
        <v>534</v>
      </c>
      <c r="D1" s="407" t="s">
        <v>535</v>
      </c>
      <c r="E1" s="407" t="s">
        <v>536</v>
      </c>
      <c r="F1" s="407" t="s">
        <v>537</v>
      </c>
      <c r="G1" s="407" t="s">
        <v>538</v>
      </c>
      <c r="H1" s="407" t="s">
        <v>539</v>
      </c>
      <c r="I1" s="408" t="s">
        <v>540</v>
      </c>
    </row>
    <row r="2" spans="1:9" x14ac:dyDescent="0.25">
      <c r="A2" s="715" t="s">
        <v>541</v>
      </c>
      <c r="B2" s="391">
        <v>43881</v>
      </c>
      <c r="C2" s="392" t="s">
        <v>312</v>
      </c>
      <c r="D2" s="393" t="s">
        <v>87</v>
      </c>
      <c r="E2" s="393">
        <v>3271</v>
      </c>
      <c r="F2" s="394">
        <v>39</v>
      </c>
      <c r="G2" s="395">
        <f>E2*F2</f>
        <v>127569</v>
      </c>
      <c r="H2" s="395">
        <f>+G2*0.19</f>
        <v>24238.11</v>
      </c>
      <c r="I2" s="396">
        <f>+G2+H2+0.6</f>
        <v>151807.71</v>
      </c>
    </row>
    <row r="3" spans="1:9" x14ac:dyDescent="0.25">
      <c r="A3" s="716"/>
      <c r="B3" s="397">
        <v>44009</v>
      </c>
      <c r="C3" s="398" t="s">
        <v>312</v>
      </c>
      <c r="D3" s="399" t="s">
        <v>87</v>
      </c>
      <c r="E3" s="399">
        <v>1205</v>
      </c>
      <c r="F3" s="400">
        <v>30.5</v>
      </c>
      <c r="G3" s="401">
        <f>E3*F3</f>
        <v>36752.5</v>
      </c>
      <c r="H3" s="401">
        <f>+G3*0.19</f>
        <v>6982.9750000000004</v>
      </c>
      <c r="I3" s="402">
        <f>+G3+H3+0.6</f>
        <v>43736.074999999997</v>
      </c>
    </row>
    <row r="4" spans="1:9" x14ac:dyDescent="0.25">
      <c r="A4" s="716"/>
      <c r="B4" s="403">
        <v>44019</v>
      </c>
      <c r="C4" s="404" t="s">
        <v>89</v>
      </c>
      <c r="D4" s="382" t="s">
        <v>87</v>
      </c>
      <c r="E4" s="382">
        <v>41800</v>
      </c>
      <c r="F4" s="383">
        <v>2</v>
      </c>
      <c r="G4" s="383">
        <f>E4*F4</f>
        <v>83600</v>
      </c>
      <c r="H4" s="78">
        <f>+G4*0.19</f>
        <v>15884</v>
      </c>
      <c r="I4" s="384">
        <f>+G4+H4+0.6</f>
        <v>99484.6</v>
      </c>
    </row>
    <row r="5" spans="1:9" x14ac:dyDescent="0.25">
      <c r="A5" s="716"/>
      <c r="B5" s="403">
        <v>44023</v>
      </c>
      <c r="C5" s="404" t="s">
        <v>89</v>
      </c>
      <c r="D5" s="382" t="s">
        <v>87</v>
      </c>
      <c r="E5" s="382">
        <v>42560</v>
      </c>
      <c r="F5" s="383">
        <v>1.9</v>
      </c>
      <c r="G5" s="383">
        <f>E5*F5</f>
        <v>80864</v>
      </c>
      <c r="H5" s="78">
        <f>+G5*0.19</f>
        <v>15364.16</v>
      </c>
      <c r="I5" s="384">
        <f>+G5+H5+0.6</f>
        <v>96228.760000000009</v>
      </c>
    </row>
    <row r="6" spans="1:9" ht="15.75" thickBot="1" x14ac:dyDescent="0.3">
      <c r="A6" s="717"/>
      <c r="B6" s="405">
        <v>44026</v>
      </c>
      <c r="C6" s="386" t="s">
        <v>117</v>
      </c>
      <c r="D6" s="387" t="s">
        <v>87</v>
      </c>
      <c r="E6" s="388">
        <v>3900</v>
      </c>
      <c r="F6" s="389">
        <v>3.9</v>
      </c>
      <c r="G6" s="389">
        <f>E6*F6</f>
        <v>15210</v>
      </c>
      <c r="H6" s="389">
        <f>+G6*0.19</f>
        <v>2889.9</v>
      </c>
      <c r="I6" s="390">
        <f>+G6+H6+0.6</f>
        <v>18100.5</v>
      </c>
    </row>
    <row r="7" spans="1:9" ht="5.25" customHeight="1" thickBot="1" x14ac:dyDescent="0.3"/>
    <row r="8" spans="1:9" x14ac:dyDescent="0.25">
      <c r="A8" s="715" t="s">
        <v>503</v>
      </c>
      <c r="B8" s="373">
        <v>44018</v>
      </c>
      <c r="C8" s="374" t="s">
        <v>435</v>
      </c>
      <c r="D8" s="375" t="s">
        <v>87</v>
      </c>
      <c r="E8" s="376">
        <v>33700</v>
      </c>
      <c r="F8" s="377">
        <v>1.4</v>
      </c>
      <c r="G8" s="377">
        <f>+E8*F8</f>
        <v>47180</v>
      </c>
      <c r="H8" s="377">
        <f>+G8*0.19</f>
        <v>8964.2000000000007</v>
      </c>
      <c r="I8" s="378">
        <f>+G8+H8</f>
        <v>56144.2</v>
      </c>
    </row>
    <row r="9" spans="1:9" x14ac:dyDescent="0.25">
      <c r="A9" s="716"/>
      <c r="B9" s="379">
        <v>44020</v>
      </c>
      <c r="C9" s="380" t="s">
        <v>435</v>
      </c>
      <c r="D9" s="381" t="s">
        <v>87</v>
      </c>
      <c r="E9" s="382">
        <v>34820</v>
      </c>
      <c r="F9" s="383">
        <v>1.4</v>
      </c>
      <c r="G9" s="383">
        <f>+E9*F9</f>
        <v>48748</v>
      </c>
      <c r="H9" s="383">
        <f>+G9*0.19</f>
        <v>9262.1200000000008</v>
      </c>
      <c r="I9" s="384">
        <f>+G9+H9</f>
        <v>58010.12</v>
      </c>
    </row>
    <row r="10" spans="1:9" ht="15.75" thickBot="1" x14ac:dyDescent="0.3">
      <c r="A10" s="717"/>
      <c r="B10" s="385">
        <v>44025</v>
      </c>
      <c r="C10" s="386" t="s">
        <v>435</v>
      </c>
      <c r="D10" s="387" t="s">
        <v>87</v>
      </c>
      <c r="E10" s="388">
        <v>35040</v>
      </c>
      <c r="F10" s="389">
        <v>1.4</v>
      </c>
      <c r="G10" s="389">
        <f>+E10*F10</f>
        <v>49056</v>
      </c>
      <c r="H10" s="389">
        <f>+G10*0.19</f>
        <v>9320.64</v>
      </c>
      <c r="I10" s="390">
        <f>+G10+H10</f>
        <v>58376.639999999999</v>
      </c>
    </row>
  </sheetData>
  <mergeCells count="2">
    <mergeCell ref="A2:A6"/>
    <mergeCell ref="A8:A10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A1:B21"/>
  <sheetViews>
    <sheetView workbookViewId="0">
      <selection activeCell="D5" sqref="D5"/>
    </sheetView>
  </sheetViews>
  <sheetFormatPr baseColWidth="10" defaultRowHeight="15" x14ac:dyDescent="0.25"/>
  <cols>
    <col min="1" max="1" width="18.7109375" bestFit="1" customWidth="1"/>
    <col min="2" max="2" width="15.5703125" bestFit="1" customWidth="1"/>
  </cols>
  <sheetData>
    <row r="1" spans="1:2" s="36" customFormat="1" x14ac:dyDescent="0.25">
      <c r="A1" s="418" t="s">
        <v>581</v>
      </c>
      <c r="B1" s="419" t="s">
        <v>541</v>
      </c>
    </row>
    <row r="2" spans="1:2" s="36" customFormat="1" ht="15.75" thickBot="1" x14ac:dyDescent="0.3">
      <c r="A2" s="420" t="s">
        <v>589</v>
      </c>
      <c r="B2" s="421" t="s">
        <v>582</v>
      </c>
    </row>
    <row r="3" spans="1:2" x14ac:dyDescent="0.25">
      <c r="A3" s="409" t="s">
        <v>117</v>
      </c>
      <c r="B3" s="416">
        <v>3.9</v>
      </c>
    </row>
    <row r="4" spans="1:2" x14ac:dyDescent="0.25">
      <c r="A4" s="410" t="s">
        <v>435</v>
      </c>
      <c r="B4" s="417">
        <v>1.4</v>
      </c>
    </row>
    <row r="5" spans="1:2" x14ac:dyDescent="0.25">
      <c r="A5" s="410" t="s">
        <v>312</v>
      </c>
      <c r="B5" s="417" t="s">
        <v>584</v>
      </c>
    </row>
    <row r="6" spans="1:2" ht="15.75" thickBot="1" x14ac:dyDescent="0.3">
      <c r="A6" s="411" t="s">
        <v>583</v>
      </c>
      <c r="B6" s="413">
        <v>1.85</v>
      </c>
    </row>
    <row r="7" spans="1:2" ht="15.75" thickBot="1" x14ac:dyDescent="0.3"/>
    <row r="8" spans="1:2" s="36" customFormat="1" x14ac:dyDescent="0.25">
      <c r="A8" s="418" t="s">
        <v>581</v>
      </c>
      <c r="B8" s="419" t="s">
        <v>310</v>
      </c>
    </row>
    <row r="9" spans="1:2" s="36" customFormat="1" ht="15.75" thickBot="1" x14ac:dyDescent="0.3">
      <c r="A9" s="420" t="s">
        <v>589</v>
      </c>
      <c r="B9" s="421" t="s">
        <v>585</v>
      </c>
    </row>
    <row r="10" spans="1:2" ht="15.75" thickBot="1" x14ac:dyDescent="0.3">
      <c r="A10" s="414" t="s">
        <v>583</v>
      </c>
      <c r="B10" s="415">
        <v>1.85</v>
      </c>
    </row>
    <row r="11" spans="1:2" ht="15.75" thickBot="1" x14ac:dyDescent="0.3"/>
    <row r="12" spans="1:2" s="36" customFormat="1" x14ac:dyDescent="0.25">
      <c r="A12" s="418" t="s">
        <v>581</v>
      </c>
      <c r="B12" s="419" t="s">
        <v>369</v>
      </c>
    </row>
    <row r="13" spans="1:2" s="36" customFormat="1" ht="15.75" thickBot="1" x14ac:dyDescent="0.3">
      <c r="A13" s="420" t="s">
        <v>589</v>
      </c>
      <c r="B13" s="421" t="s">
        <v>586</v>
      </c>
    </row>
    <row r="14" spans="1:2" ht="15.75" thickBot="1" x14ac:dyDescent="0.3">
      <c r="A14" s="414" t="s">
        <v>583</v>
      </c>
      <c r="B14" s="415">
        <v>1.85</v>
      </c>
    </row>
    <row r="15" spans="1:2" ht="15.75" thickBot="1" x14ac:dyDescent="0.3"/>
    <row r="16" spans="1:2" s="36" customFormat="1" x14ac:dyDescent="0.25">
      <c r="A16" s="418" t="s">
        <v>587</v>
      </c>
      <c r="B16" s="419" t="s">
        <v>588</v>
      </c>
    </row>
    <row r="17" spans="1:2" s="36" customFormat="1" ht="15.75" thickBot="1" x14ac:dyDescent="0.3">
      <c r="A17" s="420" t="s">
        <v>589</v>
      </c>
      <c r="B17" s="421" t="s">
        <v>590</v>
      </c>
    </row>
    <row r="18" spans="1:2" x14ac:dyDescent="0.25">
      <c r="A18" s="412" t="s">
        <v>117</v>
      </c>
      <c r="B18" s="718" t="s">
        <v>591</v>
      </c>
    </row>
    <row r="19" spans="1:2" x14ac:dyDescent="0.25">
      <c r="A19" s="410" t="s">
        <v>435</v>
      </c>
      <c r="B19" s="719"/>
    </row>
    <row r="20" spans="1:2" x14ac:dyDescent="0.25">
      <c r="A20" s="410" t="s">
        <v>312</v>
      </c>
      <c r="B20" s="719"/>
    </row>
    <row r="21" spans="1:2" ht="15.75" thickBot="1" x14ac:dyDescent="0.3">
      <c r="A21" s="411" t="s">
        <v>583</v>
      </c>
      <c r="B21" s="720"/>
    </row>
  </sheetData>
  <mergeCells count="1">
    <mergeCell ref="B18:B21"/>
  </mergeCells>
  <pageMargins left="0.7" right="0.7" top="0.75" bottom="0.75" header="0.3" footer="0.3"/>
  <pageSetup paperSize="9" orientation="portrait" horizontalDpi="180" verticalDpi="18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9"/>
  <dimension ref="A1:Q45"/>
  <sheetViews>
    <sheetView workbookViewId="0">
      <selection activeCell="I33" sqref="I33"/>
    </sheetView>
  </sheetViews>
  <sheetFormatPr baseColWidth="10" defaultRowHeight="15" x14ac:dyDescent="0.25"/>
  <cols>
    <col min="1" max="1" width="20.140625" bestFit="1" customWidth="1"/>
    <col min="2" max="2" width="11" bestFit="1" customWidth="1"/>
    <col min="3" max="5" width="11.42578125" style="14"/>
    <col min="6" max="6" width="7.42578125" customWidth="1"/>
    <col min="7" max="7" width="13.5703125" bestFit="1" customWidth="1"/>
  </cols>
  <sheetData>
    <row r="1" spans="1:17" ht="15.75" thickBot="1" x14ac:dyDescent="0.3">
      <c r="A1" s="721" t="s">
        <v>600</v>
      </c>
      <c r="B1" s="722"/>
      <c r="C1" s="722"/>
      <c r="D1" s="722"/>
      <c r="E1" s="722"/>
      <c r="F1" s="722"/>
      <c r="G1" s="722"/>
      <c r="H1" s="722"/>
      <c r="I1" s="722"/>
      <c r="J1" s="722"/>
      <c r="K1" s="723"/>
    </row>
    <row r="2" spans="1:17" ht="15.75" thickBot="1" x14ac:dyDescent="0.3"/>
    <row r="3" spans="1:17" ht="15.75" thickBot="1" x14ac:dyDescent="0.3">
      <c r="A3" s="721" t="s">
        <v>601</v>
      </c>
      <c r="B3" s="722"/>
      <c r="C3" s="722"/>
      <c r="D3" s="722"/>
      <c r="E3" s="723"/>
      <c r="G3" s="721" t="s">
        <v>1</v>
      </c>
      <c r="H3" s="722"/>
      <c r="I3" s="722"/>
      <c r="J3" s="722"/>
      <c r="K3" s="723"/>
    </row>
    <row r="4" spans="1:17" ht="15.75" thickBot="1" x14ac:dyDescent="0.3">
      <c r="I4" s="14"/>
      <c r="J4" s="14"/>
      <c r="K4" s="14"/>
    </row>
    <row r="5" spans="1:17" s="226" customFormat="1" ht="15.75" thickBot="1" x14ac:dyDescent="0.3">
      <c r="B5" s="223" t="s">
        <v>605</v>
      </c>
      <c r="C5" s="429" t="s">
        <v>603</v>
      </c>
      <c r="D5" s="430" t="s">
        <v>615</v>
      </c>
      <c r="E5" s="225" t="s">
        <v>604</v>
      </c>
      <c r="H5" s="223" t="s">
        <v>605</v>
      </c>
      <c r="I5" s="429" t="s">
        <v>603</v>
      </c>
      <c r="J5" s="430" t="s">
        <v>615</v>
      </c>
      <c r="K5" s="225" t="s">
        <v>604</v>
      </c>
      <c r="N5" s="486">
        <f>+D6+D7+D8</f>
        <v>109320</v>
      </c>
      <c r="O5" s="486">
        <f>+J6+J8</f>
        <v>48840</v>
      </c>
    </row>
    <row r="6" spans="1:17" x14ac:dyDescent="0.25">
      <c r="A6" s="409" t="s">
        <v>602</v>
      </c>
      <c r="B6" s="423">
        <v>1</v>
      </c>
      <c r="C6" s="424">
        <v>7440</v>
      </c>
      <c r="D6" s="431">
        <f>B6*C6</f>
        <v>7440</v>
      </c>
      <c r="E6" s="416">
        <f>B6*C6*1.19</f>
        <v>8853.6</v>
      </c>
      <c r="G6" s="409" t="s">
        <v>602</v>
      </c>
      <c r="H6" s="423">
        <v>1</v>
      </c>
      <c r="I6" s="424">
        <v>7440</v>
      </c>
      <c r="J6" s="431">
        <f>H6*I6</f>
        <v>7440</v>
      </c>
      <c r="K6" s="416">
        <f>H6*I6*1.19</f>
        <v>8853.6</v>
      </c>
      <c r="N6">
        <f>+N5*0.19</f>
        <v>20770.8</v>
      </c>
      <c r="O6">
        <f>+O5*0.19</f>
        <v>9279.6</v>
      </c>
      <c r="Q6">
        <f>+N6-O6</f>
        <v>11491.199999999999</v>
      </c>
    </row>
    <row r="7" spans="1:17" x14ac:dyDescent="0.25">
      <c r="A7" s="410" t="s">
        <v>606</v>
      </c>
      <c r="B7" s="425">
        <v>360</v>
      </c>
      <c r="C7" s="426">
        <v>205</v>
      </c>
      <c r="D7" s="432">
        <f>B7*C7</f>
        <v>73800</v>
      </c>
      <c r="E7" s="417">
        <f>B7*C7*1.19</f>
        <v>87822</v>
      </c>
      <c r="G7" s="410"/>
      <c r="H7" s="425"/>
      <c r="I7" s="426"/>
      <c r="J7" s="432"/>
      <c r="K7" s="417"/>
    </row>
    <row r="8" spans="1:17" ht="15.75" thickBot="1" x14ac:dyDescent="0.3">
      <c r="A8" s="411" t="s">
        <v>607</v>
      </c>
      <c r="B8" s="427">
        <v>36</v>
      </c>
      <c r="C8" s="428">
        <v>780</v>
      </c>
      <c r="D8" s="433">
        <f>B8*C8</f>
        <v>28080</v>
      </c>
      <c r="E8" s="413">
        <f>B8*C8*1.19</f>
        <v>33415.199999999997</v>
      </c>
      <c r="G8" s="411" t="s">
        <v>607</v>
      </c>
      <c r="H8" s="427">
        <v>36</v>
      </c>
      <c r="I8" s="428">
        <v>1150</v>
      </c>
      <c r="J8" s="433">
        <f>H8*I8</f>
        <v>41400</v>
      </c>
      <c r="K8" s="413">
        <f>H8*I8*1.19</f>
        <v>49266</v>
      </c>
    </row>
    <row r="9" spans="1:17" ht="3.75" customHeight="1" x14ac:dyDescent="0.25"/>
    <row r="10" spans="1:17" s="36" customFormat="1" x14ac:dyDescent="0.25">
      <c r="A10" s="713" t="s">
        <v>608</v>
      </c>
      <c r="B10" s="713"/>
      <c r="C10" s="713"/>
      <c r="D10" s="226"/>
      <c r="E10" s="372">
        <f>SUM(E6:E9)</f>
        <v>130090.8</v>
      </c>
      <c r="G10" s="713" t="s">
        <v>609</v>
      </c>
      <c r="H10" s="713"/>
      <c r="I10" s="713"/>
      <c r="J10" s="226"/>
      <c r="K10" s="372">
        <f>SUM(K6:K9)</f>
        <v>58119.6</v>
      </c>
    </row>
    <row r="12" spans="1:17" x14ac:dyDescent="0.25">
      <c r="A12" t="s">
        <v>610</v>
      </c>
      <c r="B12" s="34">
        <v>43584</v>
      </c>
      <c r="Q12" s="14">
        <f>+B21-B31</f>
        <v>11090.200000000012</v>
      </c>
    </row>
    <row r="13" spans="1:17" x14ac:dyDescent="0.25">
      <c r="B13" s="34"/>
      <c r="Q13">
        <f>+Q12*0.19</f>
        <v>2107.1380000000022</v>
      </c>
    </row>
    <row r="14" spans="1:17" x14ac:dyDescent="0.25">
      <c r="A14" t="s">
        <v>62</v>
      </c>
      <c r="B14" s="14">
        <v>30000</v>
      </c>
    </row>
    <row r="15" spans="1:17" x14ac:dyDescent="0.25">
      <c r="A15" t="s">
        <v>611</v>
      </c>
      <c r="B15" s="14">
        <v>25000</v>
      </c>
      <c r="J15" s="14">
        <f>B19-K10</f>
        <v>46880.4</v>
      </c>
    </row>
    <row r="16" spans="1:17" x14ac:dyDescent="0.25">
      <c r="A16" t="s">
        <v>613</v>
      </c>
      <c r="B16" s="14">
        <v>25000</v>
      </c>
    </row>
    <row r="17" spans="1:16" x14ac:dyDescent="0.25">
      <c r="A17" t="s">
        <v>612</v>
      </c>
      <c r="B17" s="14">
        <v>25000</v>
      </c>
    </row>
    <row r="18" spans="1:16" ht="3" customHeight="1" x14ac:dyDescent="0.25"/>
    <row r="19" spans="1:16" x14ac:dyDescent="0.25">
      <c r="A19" s="36" t="s">
        <v>614</v>
      </c>
      <c r="B19" s="372">
        <f>SUM(B14:B18)</f>
        <v>105000</v>
      </c>
    </row>
    <row r="21" spans="1:16" x14ac:dyDescent="0.25">
      <c r="A21" s="36" t="s">
        <v>616</v>
      </c>
      <c r="B21" s="372">
        <f>E10-K10</f>
        <v>71971.200000000012</v>
      </c>
      <c r="C21" s="724" t="s">
        <v>618</v>
      </c>
      <c r="D21" s="724"/>
      <c r="E21" s="724"/>
      <c r="F21" s="724"/>
      <c r="G21" s="724"/>
      <c r="H21" s="724"/>
      <c r="I21" s="724"/>
      <c r="J21" s="724"/>
      <c r="K21" s="724"/>
      <c r="N21">
        <f>+B21/1.19</f>
        <v>60480.000000000015</v>
      </c>
      <c r="O21" s="14">
        <f>+B21-N21</f>
        <v>11491.199999999997</v>
      </c>
      <c r="P21" s="14">
        <f>+O21-B30</f>
        <v>1770.7999999999975</v>
      </c>
    </row>
    <row r="22" spans="1:16" x14ac:dyDescent="0.25">
      <c r="A22" s="724" t="s">
        <v>619</v>
      </c>
      <c r="B22" s="724"/>
      <c r="C22" s="724"/>
      <c r="D22" s="724"/>
      <c r="E22" s="724"/>
      <c r="F22" s="724"/>
      <c r="G22" s="724"/>
      <c r="H22" s="724"/>
      <c r="I22" s="724"/>
      <c r="J22" s="724"/>
      <c r="K22" s="724"/>
    </row>
    <row r="23" spans="1:16" ht="15.75" thickBot="1" x14ac:dyDescent="0.3">
      <c r="B23" s="14"/>
    </row>
    <row r="24" spans="1:16" ht="15.75" thickBot="1" x14ac:dyDescent="0.3">
      <c r="A24" s="434" t="s">
        <v>617</v>
      </c>
      <c r="B24" s="435">
        <f>E10-B19</f>
        <v>25090.800000000003</v>
      </c>
    </row>
    <row r="27" spans="1:16" x14ac:dyDescent="0.25">
      <c r="A27" s="36" t="s">
        <v>770</v>
      </c>
      <c r="B27" s="14">
        <f>+D6+D7+D8-J6-J8</f>
        <v>60480</v>
      </c>
    </row>
    <row r="28" spans="1:16" x14ac:dyDescent="0.25">
      <c r="A28" s="36" t="s">
        <v>771</v>
      </c>
      <c r="B28" s="14">
        <v>9320</v>
      </c>
    </row>
    <row r="29" spans="1:16" x14ac:dyDescent="0.25">
      <c r="A29" s="36" t="s">
        <v>772</v>
      </c>
      <c r="B29" s="14">
        <f>+B27-B28</f>
        <v>51160</v>
      </c>
    </row>
    <row r="30" spans="1:16" x14ac:dyDescent="0.25">
      <c r="A30" s="36" t="s">
        <v>773</v>
      </c>
      <c r="B30" s="14">
        <f>+B29*0.19</f>
        <v>9720.4</v>
      </c>
    </row>
    <row r="31" spans="1:16" x14ac:dyDescent="0.25">
      <c r="A31" s="36" t="s">
        <v>774</v>
      </c>
      <c r="B31" s="372">
        <f>+B30+B29+0.6</f>
        <v>60881</v>
      </c>
    </row>
    <row r="32" spans="1:16" x14ac:dyDescent="0.25">
      <c r="B32" s="14"/>
    </row>
    <row r="33" spans="1:16" x14ac:dyDescent="0.25">
      <c r="B33" s="14"/>
    </row>
    <row r="35" spans="1:16" ht="15.75" thickBot="1" x14ac:dyDescent="0.3"/>
    <row r="36" spans="1:16" ht="15.75" thickBot="1" x14ac:dyDescent="0.3">
      <c r="A36" s="721" t="s">
        <v>1</v>
      </c>
      <c r="B36" s="722"/>
      <c r="C36" s="722"/>
      <c r="D36" s="722"/>
      <c r="E36" s="723"/>
    </row>
    <row r="37" spans="1:16" ht="15.75" thickBot="1" x14ac:dyDescent="0.3">
      <c r="H37" s="14"/>
    </row>
    <row r="38" spans="1:16" ht="15.75" thickBot="1" x14ac:dyDescent="0.3">
      <c r="A38" s="226"/>
      <c r="B38" s="223" t="s">
        <v>605</v>
      </c>
      <c r="C38" s="429" t="s">
        <v>603</v>
      </c>
      <c r="D38" s="430" t="s">
        <v>615</v>
      </c>
      <c r="E38" s="225" t="s">
        <v>604</v>
      </c>
      <c r="G38" s="492"/>
      <c r="H38" s="492"/>
      <c r="I38" s="492"/>
      <c r="J38" s="492"/>
      <c r="K38" s="492"/>
      <c r="L38" s="492"/>
      <c r="M38" s="492"/>
      <c r="N38" s="492"/>
      <c r="O38" s="492"/>
      <c r="P38" s="492"/>
    </row>
    <row r="39" spans="1:16" x14ac:dyDescent="0.25">
      <c r="A39" s="409" t="s">
        <v>602</v>
      </c>
      <c r="B39" s="423">
        <v>1</v>
      </c>
      <c r="C39" s="424">
        <v>7440</v>
      </c>
      <c r="D39" s="431">
        <f>B39*C39</f>
        <v>7440</v>
      </c>
      <c r="E39" s="416">
        <f>B39*C39*1.19+0.6</f>
        <v>8854.2000000000007</v>
      </c>
      <c r="G39" s="492"/>
      <c r="H39" s="492"/>
      <c r="I39" s="492"/>
      <c r="J39" s="492"/>
      <c r="K39" s="492"/>
      <c r="L39" s="492"/>
      <c r="M39" s="492"/>
      <c r="N39" s="492"/>
      <c r="O39" s="492"/>
      <c r="P39" s="492"/>
    </row>
    <row r="40" spans="1:16" x14ac:dyDescent="0.25">
      <c r="A40" s="487" t="s">
        <v>775</v>
      </c>
      <c r="B40" s="488"/>
      <c r="C40" s="489"/>
      <c r="D40" s="490">
        <f>B29</f>
        <v>51160</v>
      </c>
      <c r="E40" s="491">
        <f>+D40*1.19+0.6</f>
        <v>60880.999999999993</v>
      </c>
      <c r="G40" s="492"/>
      <c r="H40" s="492"/>
      <c r="I40" s="492"/>
      <c r="J40" s="492"/>
      <c r="K40" s="492"/>
      <c r="L40" s="492"/>
      <c r="M40" s="492"/>
      <c r="N40" s="492"/>
      <c r="O40" s="492"/>
      <c r="P40" s="492"/>
    </row>
    <row r="41" spans="1:16" ht="15.75" thickBot="1" x14ac:dyDescent="0.3">
      <c r="A41" s="411" t="s">
        <v>607</v>
      </c>
      <c r="B41" s="427">
        <v>36</v>
      </c>
      <c r="C41" s="428">
        <v>1150</v>
      </c>
      <c r="D41" s="433">
        <f>B41*C41</f>
        <v>41400</v>
      </c>
      <c r="E41" s="413">
        <f>B41*C41*1.19+0.6</f>
        <v>49266.6</v>
      </c>
      <c r="G41" s="492"/>
      <c r="H41" s="492"/>
      <c r="I41" s="492"/>
      <c r="J41" s="492"/>
      <c r="K41" s="492"/>
      <c r="L41" s="492"/>
      <c r="M41" s="492"/>
      <c r="N41" s="492"/>
      <c r="O41" s="492"/>
      <c r="P41" s="492"/>
    </row>
    <row r="42" spans="1:16" x14ac:dyDescent="0.25">
      <c r="C42"/>
      <c r="D42"/>
      <c r="E42"/>
    </row>
    <row r="43" spans="1:16" x14ac:dyDescent="0.25">
      <c r="A43" s="713" t="s">
        <v>609</v>
      </c>
      <c r="B43" s="713"/>
      <c r="C43" s="713"/>
      <c r="D43" s="226"/>
      <c r="E43" s="372">
        <f>SUM(E39:E42)</f>
        <v>119001.79999999999</v>
      </c>
      <c r="H43" s="14">
        <f>+E40-E45</f>
        <v>46879.200000000004</v>
      </c>
    </row>
    <row r="44" spans="1:16" x14ac:dyDescent="0.25">
      <c r="A44" s="713" t="s">
        <v>662</v>
      </c>
      <c r="B44" s="713"/>
      <c r="C44" s="713"/>
      <c r="E44" s="14">
        <f>+B19</f>
        <v>105000</v>
      </c>
    </row>
    <row r="45" spans="1:16" x14ac:dyDescent="0.25">
      <c r="A45" s="713" t="s">
        <v>114</v>
      </c>
      <c r="B45" s="713"/>
      <c r="C45" s="713"/>
      <c r="E45" s="372">
        <f>+E43-E44</f>
        <v>14001.799999999988</v>
      </c>
    </row>
  </sheetData>
  <mergeCells count="11">
    <mergeCell ref="A36:E36"/>
    <mergeCell ref="A43:C43"/>
    <mergeCell ref="A44:C44"/>
    <mergeCell ref="A45:C45"/>
    <mergeCell ref="A1:K1"/>
    <mergeCell ref="C21:K21"/>
    <mergeCell ref="A22:K22"/>
    <mergeCell ref="A3:E3"/>
    <mergeCell ref="G3:K3"/>
    <mergeCell ref="A10:C10"/>
    <mergeCell ref="G10:I10"/>
  </mergeCells>
  <pageMargins left="0.7" right="0.7" top="0.75" bottom="0.75" header="0.3" footer="0.3"/>
  <pageSetup paperSize="9" orientation="portrait" horizontalDpi="180" verticalDpi="180" r:id="rId1"/>
  <ignoredErrors>
    <ignoredError sqref="B19" formulaRange="1"/>
    <ignoredError sqref="D40:E40" formula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0"/>
  <dimension ref="A1:H10"/>
  <sheetViews>
    <sheetView workbookViewId="0">
      <selection activeCell="S28" sqref="S28"/>
    </sheetView>
  </sheetViews>
  <sheetFormatPr baseColWidth="10" defaultRowHeight="15" x14ac:dyDescent="0.25"/>
  <cols>
    <col min="1" max="1" width="9.5703125" bestFit="1" customWidth="1"/>
    <col min="2" max="2" width="10.7109375" bestFit="1" customWidth="1"/>
    <col min="3" max="3" width="10.140625" bestFit="1" customWidth="1"/>
    <col min="4" max="4" width="4.42578125" bestFit="1" customWidth="1"/>
    <col min="5" max="5" width="10.7109375" bestFit="1" customWidth="1"/>
    <col min="6" max="6" width="11.42578125" customWidth="1"/>
    <col min="7" max="7" width="2" customWidth="1"/>
    <col min="8" max="8" width="17.42578125" bestFit="1" customWidth="1"/>
  </cols>
  <sheetData>
    <row r="1" spans="1:8" ht="15.75" thickBot="1" x14ac:dyDescent="0.3">
      <c r="A1" s="439" t="s">
        <v>336</v>
      </c>
      <c r="B1" s="440" t="s">
        <v>549</v>
      </c>
      <c r="C1" s="441">
        <v>44049</v>
      </c>
      <c r="D1" s="440" t="s">
        <v>16</v>
      </c>
      <c r="E1" s="53">
        <v>97194.08</v>
      </c>
    </row>
    <row r="2" spans="1:8" x14ac:dyDescent="0.25">
      <c r="A2" s="84"/>
      <c r="B2" s="84"/>
      <c r="C2" s="442"/>
      <c r="D2" s="84"/>
      <c r="E2" s="72"/>
    </row>
    <row r="3" spans="1:8" x14ac:dyDescent="0.25">
      <c r="A3" s="725" t="s">
        <v>647</v>
      </c>
      <c r="B3" s="725"/>
      <c r="C3" s="725"/>
      <c r="D3" s="1"/>
      <c r="E3" s="726" t="s">
        <v>3</v>
      </c>
      <c r="F3" s="726"/>
    </row>
    <row r="4" spans="1:8" x14ac:dyDescent="0.25">
      <c r="A4" s="221" t="s">
        <v>654</v>
      </c>
      <c r="B4" s="436"/>
      <c r="C4" s="437">
        <v>29246.16</v>
      </c>
      <c r="E4" s="34">
        <v>44049</v>
      </c>
      <c r="F4" s="35">
        <v>29196.16</v>
      </c>
      <c r="H4" s="35" t="s">
        <v>653</v>
      </c>
    </row>
    <row r="5" spans="1:8" x14ac:dyDescent="0.25">
      <c r="A5" s="221" t="s">
        <v>648</v>
      </c>
      <c r="B5" s="436">
        <v>44082</v>
      </c>
      <c r="C5" s="437">
        <v>13648</v>
      </c>
      <c r="E5" s="34">
        <v>44083</v>
      </c>
      <c r="F5" s="35">
        <v>13648</v>
      </c>
      <c r="H5" s="35"/>
    </row>
    <row r="6" spans="1:8" x14ac:dyDescent="0.25">
      <c r="A6" s="221" t="s">
        <v>649</v>
      </c>
      <c r="B6" s="436">
        <v>44089</v>
      </c>
      <c r="C6" s="437">
        <v>13648</v>
      </c>
      <c r="E6" s="34">
        <v>44099</v>
      </c>
      <c r="F6" s="35">
        <v>13598</v>
      </c>
      <c r="H6" s="35" t="s">
        <v>653</v>
      </c>
    </row>
    <row r="7" spans="1:8" x14ac:dyDescent="0.25">
      <c r="A7" s="221" t="s">
        <v>650</v>
      </c>
      <c r="B7" s="436">
        <v>44096</v>
      </c>
      <c r="C7" s="437">
        <v>13648</v>
      </c>
      <c r="E7" s="34">
        <v>44110</v>
      </c>
      <c r="F7" s="35">
        <v>13598</v>
      </c>
      <c r="H7" s="35" t="s">
        <v>653</v>
      </c>
    </row>
    <row r="8" spans="1:8" x14ac:dyDescent="0.25">
      <c r="A8" s="221" t="s">
        <v>651</v>
      </c>
      <c r="B8" s="436">
        <v>44103</v>
      </c>
      <c r="C8" s="437">
        <v>13648</v>
      </c>
      <c r="E8" s="34">
        <v>44118</v>
      </c>
      <c r="F8" s="35">
        <v>13648</v>
      </c>
      <c r="H8" s="35"/>
    </row>
    <row r="9" spans="1:8" x14ac:dyDescent="0.25">
      <c r="A9" t="s">
        <v>652</v>
      </c>
      <c r="B9" s="34">
        <v>44110</v>
      </c>
      <c r="C9" s="35">
        <v>12979.16</v>
      </c>
      <c r="E9" s="34"/>
      <c r="F9" s="35"/>
    </row>
    <row r="10" spans="1:8" s="36" customFormat="1" x14ac:dyDescent="0.25">
      <c r="C10" s="438">
        <f>SUM(C4:C9)</f>
        <v>96817.32</v>
      </c>
      <c r="E10" s="422"/>
      <c r="F10" s="438">
        <f>SUM(F4:F9)</f>
        <v>83688.160000000003</v>
      </c>
    </row>
  </sheetData>
  <mergeCells count="2">
    <mergeCell ref="A3:C3"/>
    <mergeCell ref="E3:F3"/>
  </mergeCells>
  <pageMargins left="0.7" right="0.7" top="0.75" bottom="0.75" header="0.3" footer="0.3"/>
  <pageSetup paperSize="9" orientation="portrait" horizontalDpi="180" verticalDpi="18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1">
    <pageSetUpPr fitToPage="1"/>
  </sheetPr>
  <dimension ref="A1:X43"/>
  <sheetViews>
    <sheetView workbookViewId="0">
      <selection activeCell="L23" sqref="L23"/>
    </sheetView>
  </sheetViews>
  <sheetFormatPr baseColWidth="10" defaultRowHeight="12.75" x14ac:dyDescent="0.2"/>
  <cols>
    <col min="1" max="1" width="8.7109375" style="175" bestFit="1" customWidth="1"/>
    <col min="2" max="2" width="9" style="175" bestFit="1" customWidth="1"/>
    <col min="3" max="3" width="17.140625" style="175" bestFit="1" customWidth="1"/>
    <col min="4" max="4" width="9.85546875" style="496" bestFit="1" customWidth="1"/>
    <col min="5" max="5" width="4.85546875" style="175" bestFit="1" customWidth="1"/>
    <col min="6" max="6" width="10.85546875" style="175" bestFit="1" customWidth="1"/>
    <col min="7" max="7" width="1" style="175" customWidth="1"/>
    <col min="8" max="9" width="9.85546875" style="175" bestFit="1" customWidth="1"/>
    <col min="10" max="10" width="11.140625" style="494" bestFit="1" customWidth="1"/>
    <col min="11" max="11" width="10.140625" style="175" customWidth="1"/>
    <col min="12" max="12" width="12.28515625" style="495" bestFit="1" customWidth="1"/>
    <col min="13" max="13" width="3.7109375" style="175" customWidth="1"/>
    <col min="14" max="14" width="19.42578125" style="175" bestFit="1" customWidth="1"/>
    <col min="15" max="15" width="11.7109375" style="161" bestFit="1" customWidth="1"/>
    <col min="16" max="16" width="12.42578125" style="161" bestFit="1" customWidth="1"/>
    <col min="17" max="16384" width="11.42578125" style="175"/>
  </cols>
  <sheetData>
    <row r="1" spans="1:18" x14ac:dyDescent="0.2">
      <c r="A1" s="512" t="s">
        <v>714</v>
      </c>
      <c r="B1" s="513" t="s">
        <v>505</v>
      </c>
      <c r="C1" s="513" t="s">
        <v>715</v>
      </c>
      <c r="D1" s="514" t="s">
        <v>716</v>
      </c>
      <c r="E1" s="515" t="s">
        <v>717</v>
      </c>
      <c r="F1" s="515" t="s">
        <v>718</v>
      </c>
      <c r="G1" s="506"/>
      <c r="H1" s="572" t="s">
        <v>719</v>
      </c>
      <c r="I1" s="572" t="s">
        <v>720</v>
      </c>
      <c r="J1" s="513" t="s">
        <v>540</v>
      </c>
      <c r="K1" s="506"/>
      <c r="L1" s="516" t="s">
        <v>3</v>
      </c>
      <c r="M1" s="506"/>
      <c r="N1" s="517"/>
    </row>
    <row r="2" spans="1:18" x14ac:dyDescent="0.2">
      <c r="A2" s="497" t="s">
        <v>310</v>
      </c>
      <c r="B2" s="359">
        <v>43888</v>
      </c>
      <c r="C2" s="359" t="s">
        <v>435</v>
      </c>
      <c r="D2" s="496">
        <v>26080</v>
      </c>
      <c r="E2" s="161">
        <v>1.5</v>
      </c>
      <c r="F2" s="161">
        <f t="shared" ref="F2:F8" si="0">+D2*E2</f>
        <v>39120</v>
      </c>
      <c r="H2" s="161">
        <f t="shared" ref="H2:H8" si="1">+F2*0.15</f>
        <v>5868</v>
      </c>
      <c r="I2" s="161">
        <f>+F2*0.04</f>
        <v>1564.8</v>
      </c>
      <c r="J2" s="495">
        <f>+F2+H2+I2+0.6</f>
        <v>46553.4</v>
      </c>
      <c r="L2" s="518">
        <f>30000*3</f>
        <v>90000</v>
      </c>
      <c r="N2" s="510"/>
    </row>
    <row r="3" spans="1:18" x14ac:dyDescent="0.2">
      <c r="A3" s="497" t="s">
        <v>310</v>
      </c>
      <c r="B3" s="359">
        <v>43917</v>
      </c>
      <c r="C3" s="359" t="s">
        <v>435</v>
      </c>
      <c r="D3" s="496">
        <v>31280</v>
      </c>
      <c r="E3" s="161">
        <v>1.5</v>
      </c>
      <c r="F3" s="161">
        <f t="shared" si="0"/>
        <v>46920</v>
      </c>
      <c r="H3" s="161">
        <f t="shared" si="1"/>
        <v>7038</v>
      </c>
      <c r="I3" s="161">
        <f t="shared" ref="I3:I8" si="2">+F3*0.04</f>
        <v>1876.8</v>
      </c>
      <c r="J3" s="495">
        <f t="shared" ref="J3:J8" si="3">+F3+H3+I3+0.6</f>
        <v>55835.4</v>
      </c>
      <c r="L3" s="519">
        <v>53378.55</v>
      </c>
      <c r="N3" s="520" t="s">
        <v>769</v>
      </c>
    </row>
    <row r="4" spans="1:18" x14ac:dyDescent="0.2">
      <c r="A4" s="497" t="s">
        <v>310</v>
      </c>
      <c r="B4" s="359">
        <v>43923</v>
      </c>
      <c r="C4" s="359" t="s">
        <v>435</v>
      </c>
      <c r="D4" s="496">
        <v>37180</v>
      </c>
      <c r="E4" s="161">
        <v>1.5</v>
      </c>
      <c r="F4" s="161">
        <f t="shared" si="0"/>
        <v>55770</v>
      </c>
      <c r="H4" s="161">
        <f t="shared" si="1"/>
        <v>8365.5</v>
      </c>
      <c r="I4" s="161">
        <f t="shared" si="2"/>
        <v>2230.8000000000002</v>
      </c>
      <c r="J4" s="495">
        <f t="shared" si="3"/>
        <v>66366.900000000009</v>
      </c>
      <c r="L4" s="518">
        <v>60000</v>
      </c>
      <c r="N4" s="510"/>
    </row>
    <row r="5" spans="1:18" x14ac:dyDescent="0.2">
      <c r="A5" s="497" t="s">
        <v>310</v>
      </c>
      <c r="B5" s="359">
        <v>43937</v>
      </c>
      <c r="C5" s="359" t="s">
        <v>435</v>
      </c>
      <c r="D5" s="496">
        <v>31390</v>
      </c>
      <c r="E5" s="161">
        <v>1.5</v>
      </c>
      <c r="F5" s="161">
        <f t="shared" si="0"/>
        <v>47085</v>
      </c>
      <c r="H5" s="161">
        <f t="shared" si="1"/>
        <v>7062.75</v>
      </c>
      <c r="I5" s="161">
        <f t="shared" si="2"/>
        <v>1883.4</v>
      </c>
      <c r="J5" s="495">
        <f t="shared" si="3"/>
        <v>56031.75</v>
      </c>
      <c r="L5" s="518">
        <v>60000</v>
      </c>
      <c r="N5" s="510" t="s">
        <v>816</v>
      </c>
    </row>
    <row r="6" spans="1:18" x14ac:dyDescent="0.2">
      <c r="A6" s="497" t="s">
        <v>310</v>
      </c>
      <c r="B6" s="359">
        <v>43948</v>
      </c>
      <c r="C6" s="359" t="s">
        <v>435</v>
      </c>
      <c r="D6" s="496">
        <v>35260</v>
      </c>
      <c r="E6" s="161">
        <v>1.5</v>
      </c>
      <c r="F6" s="161">
        <f t="shared" si="0"/>
        <v>52890</v>
      </c>
      <c r="H6" s="161">
        <f t="shared" si="1"/>
        <v>7933.5</v>
      </c>
      <c r="I6" s="161">
        <f t="shared" si="2"/>
        <v>2115.6</v>
      </c>
      <c r="J6" s="495">
        <f t="shared" si="3"/>
        <v>62939.7</v>
      </c>
      <c r="L6" s="495">
        <v>60000</v>
      </c>
      <c r="N6" s="510"/>
    </row>
    <row r="7" spans="1:18" x14ac:dyDescent="0.2">
      <c r="A7" s="497" t="s">
        <v>310</v>
      </c>
      <c r="B7" s="359">
        <v>43981</v>
      </c>
      <c r="C7" s="359" t="s">
        <v>435</v>
      </c>
      <c r="D7" s="496">
        <v>42320</v>
      </c>
      <c r="E7" s="161">
        <v>1.4</v>
      </c>
      <c r="F7" s="161">
        <f t="shared" si="0"/>
        <v>59247.999999999993</v>
      </c>
      <c r="H7" s="161">
        <f t="shared" si="1"/>
        <v>8887.1999999999989</v>
      </c>
      <c r="I7" s="161">
        <f t="shared" si="2"/>
        <v>2369.9199999999996</v>
      </c>
      <c r="J7" s="495">
        <f t="shared" si="3"/>
        <v>70505.72</v>
      </c>
      <c r="L7" s="495">
        <v>60000</v>
      </c>
      <c r="N7" s="510"/>
    </row>
    <row r="8" spans="1:18" x14ac:dyDescent="0.2">
      <c r="A8" s="497" t="s">
        <v>310</v>
      </c>
      <c r="B8" s="359">
        <v>43987</v>
      </c>
      <c r="C8" s="359" t="s">
        <v>435</v>
      </c>
      <c r="D8" s="496">
        <v>39160</v>
      </c>
      <c r="E8" s="161">
        <v>1.4</v>
      </c>
      <c r="F8" s="161">
        <f t="shared" si="0"/>
        <v>54824</v>
      </c>
      <c r="H8" s="161">
        <f t="shared" si="1"/>
        <v>8223.6</v>
      </c>
      <c r="I8" s="161">
        <f t="shared" si="2"/>
        <v>2192.96</v>
      </c>
      <c r="J8" s="495">
        <f t="shared" si="3"/>
        <v>65241.159999999996</v>
      </c>
      <c r="L8" s="495">
        <v>40095.480000000003</v>
      </c>
      <c r="N8" s="510"/>
    </row>
    <row r="9" spans="1:18" s="494" customFormat="1" x14ac:dyDescent="0.2">
      <c r="A9" s="521"/>
      <c r="D9" s="522">
        <f>SUM(D2:D8)</f>
        <v>242670</v>
      </c>
      <c r="F9" s="495">
        <f>SUM(F2:F8)</f>
        <v>355857</v>
      </c>
      <c r="H9" s="495">
        <f>SUM(H2:H8)</f>
        <v>53378.549999999996</v>
      </c>
      <c r="I9" s="495">
        <f>SUM(I2:I8)</f>
        <v>14234.279999999999</v>
      </c>
      <c r="J9" s="495">
        <f>SUM(J2:J8)</f>
        <v>423474.02999999997</v>
      </c>
      <c r="L9" s="495"/>
      <c r="N9" s="498"/>
      <c r="O9" s="495"/>
      <c r="P9" s="495"/>
    </row>
    <row r="10" spans="1:18" x14ac:dyDescent="0.2">
      <c r="A10" s="497"/>
      <c r="J10" s="495"/>
      <c r="L10" s="495">
        <f>SUM(L2:L9)</f>
        <v>423474.02999999997</v>
      </c>
      <c r="N10" s="520"/>
    </row>
    <row r="11" spans="1:18" ht="13.5" thickBot="1" x14ac:dyDescent="0.25">
      <c r="A11" s="499"/>
      <c r="B11" s="503"/>
      <c r="C11" s="503"/>
      <c r="D11" s="501"/>
      <c r="E11" s="503"/>
      <c r="F11" s="503"/>
      <c r="G11" s="503"/>
      <c r="H11" s="503"/>
      <c r="I11" s="503"/>
      <c r="J11" s="523"/>
      <c r="K11" s="503"/>
      <c r="L11" s="524">
        <f>J9-L10</f>
        <v>0</v>
      </c>
      <c r="M11" s="503"/>
      <c r="N11" s="511"/>
    </row>
    <row r="12" spans="1:18" ht="13.5" thickBot="1" x14ac:dyDescent="0.25"/>
    <row r="13" spans="1:18" x14ac:dyDescent="0.2">
      <c r="A13" s="504"/>
      <c r="B13" s="506"/>
      <c r="C13" s="506"/>
      <c r="D13" s="507"/>
      <c r="E13" s="506"/>
      <c r="F13" s="506"/>
      <c r="G13" s="506"/>
      <c r="H13" s="572" t="s">
        <v>724</v>
      </c>
      <c r="I13" s="572" t="s">
        <v>723</v>
      </c>
      <c r="J13" s="513" t="s">
        <v>540</v>
      </c>
      <c r="K13" s="506"/>
      <c r="L13" s="516" t="s">
        <v>3</v>
      </c>
      <c r="M13" s="506"/>
      <c r="N13" s="517"/>
    </row>
    <row r="14" spans="1:18" x14ac:dyDescent="0.2">
      <c r="A14" s="497" t="s">
        <v>316</v>
      </c>
      <c r="B14" s="359">
        <v>43888</v>
      </c>
      <c r="C14" s="359" t="s">
        <v>721</v>
      </c>
      <c r="D14" s="496">
        <v>29940</v>
      </c>
      <c r="E14" s="161">
        <v>1.5</v>
      </c>
      <c r="F14" s="161">
        <v>44910</v>
      </c>
      <c r="H14" s="161">
        <f>+F14*0.16</f>
        <v>7185.6</v>
      </c>
      <c r="I14" s="161">
        <f>+F14*0.03</f>
        <v>1347.3</v>
      </c>
      <c r="J14" s="495">
        <f>+F14+H14+I14+0.6</f>
        <v>53443.5</v>
      </c>
      <c r="K14" s="161"/>
      <c r="L14" s="518">
        <v>69300</v>
      </c>
      <c r="N14" s="520"/>
    </row>
    <row r="15" spans="1:18" x14ac:dyDescent="0.2">
      <c r="A15" s="497" t="s">
        <v>316</v>
      </c>
      <c r="B15" s="359">
        <v>43922</v>
      </c>
      <c r="C15" s="359" t="s">
        <v>721</v>
      </c>
      <c r="D15" s="496">
        <v>38960</v>
      </c>
      <c r="E15" s="161">
        <v>1.5</v>
      </c>
      <c r="F15" s="161">
        <v>58440</v>
      </c>
      <c r="H15" s="161">
        <f t="shared" ref="H15:H20" si="4">+F15*0.16</f>
        <v>9350.4</v>
      </c>
      <c r="I15" s="161">
        <f t="shared" ref="I15:I20" si="5">+F15*0.03</f>
        <v>1753.2</v>
      </c>
      <c r="J15" s="495">
        <f t="shared" ref="J15:J20" si="6">+F15+H15+I15+0.6</f>
        <v>69544.2</v>
      </c>
      <c r="K15" s="161"/>
      <c r="L15" s="518">
        <f>21000+23000+24500+22500</f>
        <v>91000</v>
      </c>
      <c r="N15" s="520"/>
      <c r="R15" s="161"/>
    </row>
    <row r="16" spans="1:18" x14ac:dyDescent="0.2">
      <c r="A16" s="497" t="s">
        <v>316</v>
      </c>
      <c r="B16" s="359">
        <v>43931</v>
      </c>
      <c r="C16" s="359" t="s">
        <v>721</v>
      </c>
      <c r="D16" s="496">
        <v>31320</v>
      </c>
      <c r="E16" s="161">
        <v>1.5</v>
      </c>
      <c r="F16" s="161">
        <v>46980</v>
      </c>
      <c r="H16" s="161">
        <f t="shared" si="4"/>
        <v>7516.8</v>
      </c>
      <c r="I16" s="76">
        <f t="shared" si="5"/>
        <v>1409.3999999999999</v>
      </c>
      <c r="J16" s="81">
        <f t="shared" si="6"/>
        <v>55906.8</v>
      </c>
      <c r="K16" s="76"/>
      <c r="L16" s="525">
        <f>41999.999+40609.137+39999.999</f>
        <v>122609.13500000001</v>
      </c>
      <c r="M16" s="1"/>
      <c r="N16" s="526"/>
      <c r="O16" s="76"/>
      <c r="P16" s="76"/>
    </row>
    <row r="17" spans="1:24" x14ac:dyDescent="0.2">
      <c r="A17" s="497" t="s">
        <v>316</v>
      </c>
      <c r="B17" s="359">
        <v>43941</v>
      </c>
      <c r="C17" s="359" t="s">
        <v>721</v>
      </c>
      <c r="D17" s="496">
        <v>27150</v>
      </c>
      <c r="E17" s="161">
        <v>1.5</v>
      </c>
      <c r="F17" s="161">
        <v>40725</v>
      </c>
      <c r="H17" s="161">
        <f t="shared" si="4"/>
        <v>6516</v>
      </c>
      <c r="I17" s="161">
        <f t="shared" si="5"/>
        <v>1221.75</v>
      </c>
      <c r="J17" s="495">
        <f t="shared" si="6"/>
        <v>48463.35</v>
      </c>
      <c r="K17" s="161"/>
      <c r="L17" s="519">
        <v>55595.519999999997</v>
      </c>
      <c r="N17" s="520" t="s">
        <v>769</v>
      </c>
    </row>
    <row r="18" spans="1:24" x14ac:dyDescent="0.2">
      <c r="A18" s="497" t="s">
        <v>316</v>
      </c>
      <c r="B18" s="359">
        <v>43946</v>
      </c>
      <c r="C18" s="359" t="s">
        <v>721</v>
      </c>
      <c r="D18" s="496">
        <v>27250</v>
      </c>
      <c r="E18" s="161">
        <v>1.5</v>
      </c>
      <c r="F18" s="161">
        <v>40875</v>
      </c>
      <c r="H18" s="161">
        <f t="shared" si="4"/>
        <v>6540</v>
      </c>
      <c r="I18" s="161">
        <f t="shared" si="5"/>
        <v>1226.25</v>
      </c>
      <c r="J18" s="495">
        <f t="shared" si="6"/>
        <v>48641.85</v>
      </c>
      <c r="K18" s="161"/>
      <c r="L18" s="518">
        <f>38000+35000+32000</f>
        <v>105000</v>
      </c>
      <c r="N18" s="520"/>
    </row>
    <row r="19" spans="1:24" x14ac:dyDescent="0.2">
      <c r="A19" s="497" t="s">
        <v>316</v>
      </c>
      <c r="B19" s="359">
        <v>43949</v>
      </c>
      <c r="C19" s="359" t="s">
        <v>721</v>
      </c>
      <c r="D19" s="496">
        <v>41060</v>
      </c>
      <c r="E19" s="161">
        <v>1.4</v>
      </c>
      <c r="F19" s="161">
        <v>57483.999999999993</v>
      </c>
      <c r="H19" s="161">
        <f t="shared" si="4"/>
        <v>9197.4399999999987</v>
      </c>
      <c r="I19" s="161">
        <f t="shared" si="5"/>
        <v>1724.5199999999998</v>
      </c>
      <c r="J19" s="495">
        <f t="shared" si="6"/>
        <v>68406.559999999998</v>
      </c>
      <c r="K19" s="161"/>
      <c r="L19" s="518">
        <f>35000+38000+35000</f>
        <v>108000</v>
      </c>
      <c r="N19" s="520"/>
    </row>
    <row r="20" spans="1:24" x14ac:dyDescent="0.2">
      <c r="A20" s="497" t="s">
        <v>316</v>
      </c>
      <c r="B20" s="359">
        <v>43991</v>
      </c>
      <c r="C20" s="359" t="s">
        <v>721</v>
      </c>
      <c r="D20" s="496">
        <v>41470</v>
      </c>
      <c r="E20" s="161">
        <v>1.4</v>
      </c>
      <c r="F20" s="161">
        <v>58057.999999999993</v>
      </c>
      <c r="H20" s="161">
        <f t="shared" si="4"/>
        <v>9289.2799999999988</v>
      </c>
      <c r="I20" s="161">
        <f t="shared" si="5"/>
        <v>1741.7399999999998</v>
      </c>
      <c r="J20" s="495">
        <f t="shared" si="6"/>
        <v>69089.62000000001</v>
      </c>
      <c r="K20" s="161"/>
      <c r="L20" s="519">
        <v>55919.199999999997</v>
      </c>
      <c r="N20" s="520" t="s">
        <v>769</v>
      </c>
    </row>
    <row r="21" spans="1:24" x14ac:dyDescent="0.2">
      <c r="A21" s="497"/>
      <c r="H21" s="527">
        <f>SUM(H14:H20)</f>
        <v>55595.520000000004</v>
      </c>
      <c r="I21" s="161">
        <f>SUM(I14:I20)</f>
        <v>10424.16</v>
      </c>
      <c r="J21" s="495">
        <f>SUM(J14:J20)</f>
        <v>413495.88</v>
      </c>
      <c r="L21" s="518">
        <f>34687.099+48641.85+24671.05</f>
        <v>107999.999</v>
      </c>
      <c r="N21" s="520"/>
      <c r="Q21" s="161"/>
      <c r="R21" s="161"/>
    </row>
    <row r="22" spans="1:24" x14ac:dyDescent="0.2">
      <c r="A22" s="497"/>
      <c r="J22" s="495">
        <v>358833.90399999998</v>
      </c>
      <c r="L22" s="518">
        <f>41000+37735.51+34089.62</f>
        <v>112825.13</v>
      </c>
      <c r="N22" s="520"/>
      <c r="R22" s="161"/>
    </row>
    <row r="23" spans="1:24" x14ac:dyDescent="0.2">
      <c r="A23" s="497"/>
      <c r="J23" s="495"/>
      <c r="L23" s="495">
        <v>101522.842</v>
      </c>
      <c r="N23" s="520" t="s">
        <v>837</v>
      </c>
    </row>
    <row r="24" spans="1:24" x14ac:dyDescent="0.2">
      <c r="A24" s="497"/>
      <c r="L24" s="495">
        <v>100000</v>
      </c>
      <c r="N24" s="520" t="s">
        <v>838</v>
      </c>
    </row>
    <row r="25" spans="1:24" x14ac:dyDescent="0.2">
      <c r="A25" s="497" t="s">
        <v>316</v>
      </c>
      <c r="B25" s="359">
        <v>43931</v>
      </c>
      <c r="C25" s="359" t="s">
        <v>721</v>
      </c>
      <c r="D25" s="496">
        <v>32690</v>
      </c>
      <c r="E25" s="161">
        <v>1.5</v>
      </c>
      <c r="F25" s="161">
        <v>49035</v>
      </c>
      <c r="H25" s="161">
        <v>7845.6</v>
      </c>
      <c r="I25" s="161">
        <v>1471.05</v>
      </c>
      <c r="J25" s="495">
        <v>58352.25</v>
      </c>
      <c r="K25" s="161"/>
      <c r="L25" s="495">
        <f>33819.114+36720.208+31738.12</f>
        <v>102277.442</v>
      </c>
      <c r="N25" s="520" t="s">
        <v>939</v>
      </c>
    </row>
    <row r="26" spans="1:24" x14ac:dyDescent="0.2">
      <c r="A26" s="497" t="s">
        <v>316</v>
      </c>
      <c r="B26" s="359">
        <v>43938</v>
      </c>
      <c r="C26" s="359" t="s">
        <v>721</v>
      </c>
      <c r="D26" s="496">
        <v>35360</v>
      </c>
      <c r="E26" s="161">
        <v>1.5</v>
      </c>
      <c r="F26" s="161">
        <v>53040</v>
      </c>
      <c r="H26" s="161">
        <f>+F26*0.16</f>
        <v>8486.4</v>
      </c>
      <c r="I26" s="161">
        <f>+F26*0.03</f>
        <v>1591.2</v>
      </c>
      <c r="J26" s="495">
        <f>+F26+H26+I26+0.6</f>
        <v>63118.2</v>
      </c>
      <c r="K26" s="161"/>
      <c r="L26" s="495">
        <f>SUM(L14:L25)</f>
        <v>1132049.2679999999</v>
      </c>
      <c r="N26" s="520"/>
    </row>
    <row r="27" spans="1:24" x14ac:dyDescent="0.2">
      <c r="A27" s="497" t="s">
        <v>316</v>
      </c>
      <c r="B27" s="359">
        <v>43941</v>
      </c>
      <c r="C27" s="359" t="s">
        <v>721</v>
      </c>
      <c r="D27" s="496">
        <v>32320</v>
      </c>
      <c r="E27" s="161">
        <v>1.5</v>
      </c>
      <c r="F27" s="161">
        <v>48480</v>
      </c>
      <c r="H27" s="161">
        <v>7756.8</v>
      </c>
      <c r="I27" s="161">
        <v>1454.3999999999999</v>
      </c>
      <c r="J27" s="495">
        <v>57691.8</v>
      </c>
      <c r="K27" s="161"/>
      <c r="L27" s="528">
        <f>J21+J22+J32-L26</f>
        <v>56183.766000000061</v>
      </c>
      <c r="N27" s="520" t="s">
        <v>801</v>
      </c>
    </row>
    <row r="28" spans="1:24" x14ac:dyDescent="0.2">
      <c r="A28" s="497" t="s">
        <v>316</v>
      </c>
      <c r="B28" s="359">
        <v>43944</v>
      </c>
      <c r="C28" s="359" t="s">
        <v>721</v>
      </c>
      <c r="D28" s="496">
        <v>35770</v>
      </c>
      <c r="E28" s="161">
        <v>1.5</v>
      </c>
      <c r="F28" s="161">
        <v>53655</v>
      </c>
      <c r="H28" s="161">
        <f>+F28*0.16</f>
        <v>8584.7999999999993</v>
      </c>
      <c r="I28" s="161">
        <f>+F28*0.03</f>
        <v>1609.6499999999999</v>
      </c>
      <c r="J28" s="495">
        <f>+F28+H28+I28+0.6</f>
        <v>63850.05</v>
      </c>
      <c r="K28" s="161"/>
      <c r="N28" s="520"/>
    </row>
    <row r="29" spans="1:24" x14ac:dyDescent="0.2">
      <c r="A29" s="497" t="s">
        <v>316</v>
      </c>
      <c r="B29" s="359">
        <v>43946</v>
      </c>
      <c r="C29" s="359" t="s">
        <v>721</v>
      </c>
      <c r="D29" s="496">
        <v>29350</v>
      </c>
      <c r="E29" s="161">
        <v>1.5</v>
      </c>
      <c r="F29" s="161">
        <v>44025</v>
      </c>
      <c r="H29" s="161">
        <v>7044</v>
      </c>
      <c r="I29" s="161">
        <v>1320.75</v>
      </c>
      <c r="J29" s="495">
        <v>52390.35</v>
      </c>
      <c r="K29" s="161"/>
      <c r="N29" s="520"/>
    </row>
    <row r="30" spans="1:24" x14ac:dyDescent="0.2">
      <c r="A30" s="497" t="s">
        <v>316</v>
      </c>
      <c r="B30" s="359">
        <v>43949</v>
      </c>
      <c r="C30" s="359" t="s">
        <v>721</v>
      </c>
      <c r="D30" s="496">
        <v>33300</v>
      </c>
      <c r="E30" s="161">
        <v>1.5</v>
      </c>
      <c r="F30" s="161">
        <v>49950</v>
      </c>
      <c r="H30" s="161">
        <v>7992</v>
      </c>
      <c r="I30" s="161">
        <v>1498.5</v>
      </c>
      <c r="J30" s="495">
        <v>59441.1</v>
      </c>
      <c r="K30" s="161"/>
      <c r="N30" s="520"/>
    </row>
    <row r="31" spans="1:24" x14ac:dyDescent="0.2">
      <c r="A31" s="497" t="s">
        <v>316</v>
      </c>
      <c r="B31" s="359">
        <v>43991</v>
      </c>
      <c r="C31" s="359" t="s">
        <v>721</v>
      </c>
      <c r="D31" s="496">
        <v>36650</v>
      </c>
      <c r="E31" s="161">
        <v>1.4</v>
      </c>
      <c r="F31" s="161">
        <v>51310</v>
      </c>
      <c r="H31" s="161">
        <v>8209.6</v>
      </c>
      <c r="I31" s="161">
        <v>1539.3</v>
      </c>
      <c r="J31" s="495">
        <v>61059.5</v>
      </c>
      <c r="K31" s="161"/>
      <c r="N31" s="520"/>
    </row>
    <row r="32" spans="1:24" ht="13.5" thickBot="1" x14ac:dyDescent="0.25">
      <c r="A32" s="499"/>
      <c r="B32" s="503"/>
      <c r="C32" s="503"/>
      <c r="D32" s="501"/>
      <c r="E32" s="503"/>
      <c r="F32" s="503"/>
      <c r="G32" s="503"/>
      <c r="H32" s="559">
        <f>SUM(H24:H31)</f>
        <v>55919.199999999997</v>
      </c>
      <c r="I32" s="502">
        <f>SUM(I24:I31)</f>
        <v>10484.849999999999</v>
      </c>
      <c r="J32" s="529">
        <f>SUM(J24:J31)</f>
        <v>415903.24999999994</v>
      </c>
      <c r="K32" s="503"/>
      <c r="L32" s="529"/>
      <c r="M32" s="503"/>
      <c r="N32" s="530"/>
      <c r="Q32" s="76"/>
      <c r="R32" s="1"/>
      <c r="S32" s="1"/>
      <c r="T32" s="1"/>
      <c r="U32" s="1"/>
      <c r="V32" s="1"/>
      <c r="W32" s="1"/>
      <c r="X32" s="1"/>
    </row>
    <row r="33" spans="1:24" x14ac:dyDescent="0.2">
      <c r="Q33" s="1"/>
      <c r="R33" s="1"/>
      <c r="S33" s="1"/>
      <c r="T33" s="1"/>
      <c r="U33" s="1"/>
      <c r="V33" s="1"/>
      <c r="W33" s="1"/>
      <c r="X33" s="1"/>
    </row>
    <row r="34" spans="1:24" ht="13.5" thickBot="1" x14ac:dyDescent="0.25"/>
    <row r="35" spans="1:24" x14ac:dyDescent="0.2">
      <c r="A35" s="504" t="s">
        <v>310</v>
      </c>
      <c r="B35" s="505">
        <v>44162</v>
      </c>
      <c r="C35" s="506" t="s">
        <v>802</v>
      </c>
      <c r="D35" s="507">
        <v>32200</v>
      </c>
      <c r="E35" s="508">
        <v>1.6</v>
      </c>
      <c r="F35" s="508">
        <f>+D35*E35*1.01</f>
        <v>52035.199999999997</v>
      </c>
      <c r="G35" s="508"/>
      <c r="H35" s="577">
        <f>+F35*0.16</f>
        <v>8325.6319999999996</v>
      </c>
      <c r="I35" s="508">
        <f>+F35*0.03</f>
        <v>1561.0559999999998</v>
      </c>
      <c r="J35" s="509">
        <f>+F35+H35+I35</f>
        <v>61921.887999999992</v>
      </c>
      <c r="K35" s="727" t="s">
        <v>769</v>
      </c>
      <c r="L35" s="175"/>
      <c r="O35" s="175"/>
      <c r="P35" s="175"/>
      <c r="Q35" s="161"/>
    </row>
    <row r="36" spans="1:24" x14ac:dyDescent="0.2">
      <c r="A36" s="497" t="s">
        <v>310</v>
      </c>
      <c r="B36" s="359">
        <v>44180</v>
      </c>
      <c r="C36" s="175" t="s">
        <v>802</v>
      </c>
      <c r="D36" s="132">
        <v>28700</v>
      </c>
      <c r="E36" s="493">
        <v>1.7</v>
      </c>
      <c r="F36" s="161">
        <f>+D36*E36*1.01</f>
        <v>49277.9</v>
      </c>
      <c r="G36" s="133"/>
      <c r="H36" s="527">
        <f>+F36*0.16</f>
        <v>7884.4640000000009</v>
      </c>
      <c r="I36" s="161">
        <f>+F36*0.03</f>
        <v>1478.337</v>
      </c>
      <c r="J36" s="510">
        <f>+F36+H36+I36</f>
        <v>58640.701000000001</v>
      </c>
      <c r="K36" s="728"/>
      <c r="L36" s="175"/>
      <c r="O36" s="175"/>
      <c r="P36" s="175"/>
      <c r="Q36" s="161"/>
    </row>
    <row r="37" spans="1:24" ht="13.5" thickBot="1" x14ac:dyDescent="0.25">
      <c r="A37" s="499" t="s">
        <v>310</v>
      </c>
      <c r="B37" s="500">
        <v>44195</v>
      </c>
      <c r="C37" s="503" t="s">
        <v>802</v>
      </c>
      <c r="D37" s="206">
        <v>29850</v>
      </c>
      <c r="E37" s="502">
        <v>1.7</v>
      </c>
      <c r="F37" s="502">
        <f>+D37*E37*1.01</f>
        <v>51252.45</v>
      </c>
      <c r="G37" s="207"/>
      <c r="H37" s="559">
        <f>+F37*0.16</f>
        <v>8200.3919999999998</v>
      </c>
      <c r="I37" s="502">
        <f>+F37*0.03</f>
        <v>1537.5735</v>
      </c>
      <c r="J37" s="511">
        <f>+F37+H37+I37</f>
        <v>60990.415499999996</v>
      </c>
      <c r="K37" s="729"/>
      <c r="L37" s="175"/>
      <c r="O37" s="175"/>
      <c r="P37" s="175"/>
      <c r="Q37" s="161"/>
    </row>
    <row r="38" spans="1:24" x14ac:dyDescent="0.2">
      <c r="H38" s="574"/>
      <c r="I38" s="574"/>
    </row>
    <row r="39" spans="1:24" x14ac:dyDescent="0.2">
      <c r="A39" s="1" t="s">
        <v>316</v>
      </c>
      <c r="B39" s="12">
        <v>44135</v>
      </c>
      <c r="C39" s="12" t="s">
        <v>800</v>
      </c>
      <c r="D39" s="70">
        <v>268700</v>
      </c>
      <c r="E39" s="76">
        <v>1.62</v>
      </c>
      <c r="F39" s="76">
        <f>+D39*E39</f>
        <v>435294</v>
      </c>
      <c r="G39" s="76"/>
      <c r="H39" s="76">
        <f>+F39*0.16</f>
        <v>69647.040000000008</v>
      </c>
      <c r="I39" s="76">
        <f>+F39*0.03</f>
        <v>13058.82</v>
      </c>
      <c r="J39" s="76">
        <f>+F39+H39+I39+0.6</f>
        <v>518000.46</v>
      </c>
      <c r="K39" s="495"/>
      <c r="L39" s="175"/>
      <c r="N39" s="161"/>
      <c r="P39" s="175"/>
    </row>
    <row r="40" spans="1:24" x14ac:dyDescent="0.2">
      <c r="A40" s="1" t="s">
        <v>316</v>
      </c>
      <c r="B40" s="12">
        <v>44165</v>
      </c>
      <c r="C40" s="12" t="s">
        <v>800</v>
      </c>
      <c r="D40" s="70">
        <v>346530</v>
      </c>
      <c r="E40" s="76">
        <v>1.62</v>
      </c>
      <c r="F40" s="76">
        <f>+D40*E40</f>
        <v>561378.60000000009</v>
      </c>
      <c r="G40" s="76"/>
      <c r="H40" s="76">
        <f>+F40*0.16</f>
        <v>89820.576000000015</v>
      </c>
      <c r="I40" s="76">
        <f>+F40*0.03</f>
        <v>16841.358000000004</v>
      </c>
      <c r="J40" s="76">
        <f>+F40+H40+I40+0.6</f>
        <v>668041.13400000008</v>
      </c>
      <c r="K40" s="495"/>
      <c r="L40" s="175"/>
      <c r="N40" s="161"/>
      <c r="P40" s="175"/>
    </row>
    <row r="41" spans="1:24" x14ac:dyDescent="0.2">
      <c r="A41" s="1" t="s">
        <v>316</v>
      </c>
      <c r="B41" s="12">
        <v>44196</v>
      </c>
      <c r="C41" s="12" t="s">
        <v>800</v>
      </c>
      <c r="D41" s="70">
        <v>330520</v>
      </c>
      <c r="E41" s="76">
        <v>1.65</v>
      </c>
      <c r="F41" s="76">
        <f>+D41*E41</f>
        <v>545358</v>
      </c>
      <c r="G41" s="76"/>
      <c r="H41" s="76">
        <f>+F41*0.16</f>
        <v>87257.279999999999</v>
      </c>
      <c r="I41" s="76">
        <f>+F41*0.03</f>
        <v>16360.74</v>
      </c>
      <c r="J41" s="76">
        <f>+F41+H41+I41+0.6</f>
        <v>648976.62</v>
      </c>
      <c r="K41" s="495"/>
      <c r="L41" s="175"/>
      <c r="N41" s="161"/>
      <c r="P41" s="175"/>
    </row>
    <row r="42" spans="1:24" x14ac:dyDescent="0.2">
      <c r="C42" s="496"/>
      <c r="D42" s="175"/>
      <c r="H42" s="76">
        <f>SUM(H39:H41)</f>
        <v>246724.89600000004</v>
      </c>
      <c r="I42" s="76">
        <f>SUM(I39:I41)</f>
        <v>46260.918000000005</v>
      </c>
      <c r="J42" s="161">
        <f>SUM(J39:J41)</f>
        <v>1835018.2140000002</v>
      </c>
      <c r="K42" s="495"/>
      <c r="L42" s="175"/>
      <c r="N42" s="161"/>
      <c r="P42" s="175"/>
    </row>
    <row r="43" spans="1:24" x14ac:dyDescent="0.2">
      <c r="F43" s="576" t="s">
        <v>857</v>
      </c>
      <c r="G43" s="576"/>
      <c r="H43" s="575">
        <f>45000+42059.4+39665.496</f>
        <v>126724.89599999999</v>
      </c>
    </row>
  </sheetData>
  <mergeCells count="1">
    <mergeCell ref="K35:K37"/>
  </mergeCells>
  <pageMargins left="0.70866141732283472" right="0.70866141732283472" top="0.74803149606299213" bottom="0.74803149606299213" header="0.31496062992125984" footer="0.31496062992125984"/>
  <pageSetup paperSize="9" orientation="landscape" verticalDpi="18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2"/>
  <dimension ref="A1:D31"/>
  <sheetViews>
    <sheetView workbookViewId="0">
      <selection activeCell="H29" sqref="H29"/>
    </sheetView>
  </sheetViews>
  <sheetFormatPr baseColWidth="10" defaultRowHeight="15" x14ac:dyDescent="0.25"/>
  <cols>
    <col min="1" max="1" width="19.28515625" bestFit="1" customWidth="1"/>
    <col min="2" max="2" width="11" style="14" bestFit="1" customWidth="1"/>
    <col min="3" max="3" width="13.28515625" bestFit="1" customWidth="1"/>
    <col min="4" max="4" width="10" bestFit="1" customWidth="1"/>
  </cols>
  <sheetData>
    <row r="1" spans="1:4" x14ac:dyDescent="0.25">
      <c r="A1" s="730" t="s">
        <v>655</v>
      </c>
      <c r="B1" s="730"/>
      <c r="C1" s="730"/>
      <c r="D1" s="730"/>
    </row>
    <row r="2" spans="1:4" ht="15.75" thickBot="1" x14ac:dyDescent="0.3">
      <c r="A2" s="443"/>
      <c r="B2" s="452"/>
    </row>
    <row r="3" spans="1:4" ht="15.75" thickBot="1" x14ac:dyDescent="0.3">
      <c r="A3" s="731" t="s">
        <v>656</v>
      </c>
      <c r="B3" s="732"/>
    </row>
    <row r="4" spans="1:4" ht="15.75" thickBot="1" x14ac:dyDescent="0.3">
      <c r="A4" s="445" t="s">
        <v>657</v>
      </c>
      <c r="B4" s="453">
        <v>625681.25199999998</v>
      </c>
    </row>
    <row r="5" spans="1:4" ht="15.75" thickBot="1" x14ac:dyDescent="0.3">
      <c r="A5" s="445" t="s">
        <v>658</v>
      </c>
      <c r="B5" s="453">
        <v>322941.57400000002</v>
      </c>
    </row>
    <row r="6" spans="1:4" ht="15.75" thickBot="1" x14ac:dyDescent="0.3">
      <c r="A6" s="445" t="s">
        <v>659</v>
      </c>
      <c r="B6" s="453">
        <v>184213.198</v>
      </c>
    </row>
    <row r="7" spans="1:4" ht="15.75" thickBot="1" x14ac:dyDescent="0.3">
      <c r="A7" s="445" t="s">
        <v>114</v>
      </c>
      <c r="B7" s="454">
        <v>118526.48</v>
      </c>
    </row>
    <row r="8" spans="1:4" ht="15.75" thickBot="1" x14ac:dyDescent="0.3">
      <c r="A8" s="443"/>
      <c r="B8" s="452"/>
      <c r="C8" s="443"/>
    </row>
    <row r="9" spans="1:4" ht="15.75" thickBot="1" x14ac:dyDescent="0.3">
      <c r="A9" s="731" t="s">
        <v>660</v>
      </c>
      <c r="B9" s="732"/>
      <c r="C9" s="444"/>
    </row>
    <row r="10" spans="1:4" ht="15.75" thickBot="1" x14ac:dyDescent="0.3">
      <c r="A10" s="445" t="s">
        <v>657</v>
      </c>
      <c r="B10" s="453">
        <v>140019.51999999999</v>
      </c>
      <c r="C10" s="446" t="s">
        <v>661</v>
      </c>
    </row>
    <row r="11" spans="1:4" ht="15.75" thickBot="1" x14ac:dyDescent="0.3">
      <c r="A11" s="445" t="s">
        <v>662</v>
      </c>
      <c r="B11" s="453">
        <v>20000</v>
      </c>
      <c r="C11" s="444"/>
    </row>
    <row r="12" spans="1:4" ht="15.75" thickBot="1" x14ac:dyDescent="0.3">
      <c r="A12" s="445" t="s">
        <v>114</v>
      </c>
      <c r="B12" s="454">
        <v>120019.52</v>
      </c>
      <c r="C12" s="446" t="s">
        <v>661</v>
      </c>
    </row>
    <row r="13" spans="1:4" ht="15.75" thickBot="1" x14ac:dyDescent="0.3">
      <c r="A13" s="443"/>
      <c r="B13" s="452"/>
    </row>
    <row r="14" spans="1:4" ht="15.75" thickBot="1" x14ac:dyDescent="0.3">
      <c r="A14" s="733" t="s">
        <v>504</v>
      </c>
      <c r="B14" s="734"/>
    </row>
    <row r="15" spans="1:4" ht="15.75" thickBot="1" x14ac:dyDescent="0.3">
      <c r="A15" s="445" t="s">
        <v>657</v>
      </c>
      <c r="B15" s="453">
        <v>10087.233</v>
      </c>
    </row>
    <row r="16" spans="1:4" ht="15.75" thickBot="1" x14ac:dyDescent="0.3">
      <c r="A16" s="445" t="s">
        <v>114</v>
      </c>
      <c r="B16" s="454">
        <v>10087.233</v>
      </c>
    </row>
    <row r="17" spans="1:4" ht="15.75" thickBot="1" x14ac:dyDescent="0.3">
      <c r="A17" s="443"/>
      <c r="B17" s="452"/>
    </row>
    <row r="18" spans="1:4" ht="15.75" thickBot="1" x14ac:dyDescent="0.3">
      <c r="A18" s="445" t="s">
        <v>663</v>
      </c>
      <c r="B18" s="454">
        <f>B16+B12+B7</f>
        <v>248633.23300000001</v>
      </c>
    </row>
    <row r="20" spans="1:4" ht="15.75" thickBot="1" x14ac:dyDescent="0.3">
      <c r="A20" s="447" t="s">
        <v>662</v>
      </c>
      <c r="B20" s="452"/>
      <c r="C20" s="443"/>
      <c r="D20" s="443"/>
    </row>
    <row r="21" spans="1:4" ht="15.75" thickBot="1" x14ac:dyDescent="0.3">
      <c r="A21" s="445" t="s">
        <v>664</v>
      </c>
      <c r="B21" s="453">
        <v>20000</v>
      </c>
      <c r="C21" s="448">
        <v>43687</v>
      </c>
      <c r="D21" s="446" t="s">
        <v>370</v>
      </c>
    </row>
    <row r="22" spans="1:4" ht="15.75" thickBot="1" x14ac:dyDescent="0.3">
      <c r="A22" s="445" t="s">
        <v>664</v>
      </c>
      <c r="B22" s="453">
        <v>20000</v>
      </c>
      <c r="C22" s="448">
        <v>43718</v>
      </c>
      <c r="D22" s="446" t="s">
        <v>370</v>
      </c>
    </row>
    <row r="23" spans="1:4" ht="15.75" thickBot="1" x14ac:dyDescent="0.3">
      <c r="A23" s="445" t="s">
        <v>664</v>
      </c>
      <c r="B23" s="453">
        <v>20000</v>
      </c>
      <c r="C23" s="448">
        <v>43748</v>
      </c>
      <c r="D23" s="446" t="s">
        <v>421</v>
      </c>
    </row>
    <row r="24" spans="1:4" ht="15.75" thickBot="1" x14ac:dyDescent="0.3">
      <c r="A24" s="445" t="s">
        <v>664</v>
      </c>
      <c r="B24" s="453">
        <v>20000</v>
      </c>
      <c r="C24" s="448">
        <v>43794</v>
      </c>
      <c r="D24" s="446" t="s">
        <v>370</v>
      </c>
    </row>
    <row r="25" spans="1:4" ht="15.75" thickBot="1" x14ac:dyDescent="0.3">
      <c r="A25" s="445" t="s">
        <v>664</v>
      </c>
      <c r="B25" s="453">
        <v>20000</v>
      </c>
      <c r="C25" s="448">
        <v>43824</v>
      </c>
      <c r="D25" s="446" t="s">
        <v>370</v>
      </c>
    </row>
    <row r="26" spans="1:4" ht="15.75" thickBot="1" x14ac:dyDescent="0.3">
      <c r="A26" s="445" t="s">
        <v>664</v>
      </c>
      <c r="B26" s="453">
        <v>20000</v>
      </c>
      <c r="C26" s="448">
        <v>43855</v>
      </c>
      <c r="D26" s="446" t="s">
        <v>370</v>
      </c>
    </row>
    <row r="27" spans="1:4" ht="15.75" thickBot="1" x14ac:dyDescent="0.3">
      <c r="A27" s="445" t="s">
        <v>665</v>
      </c>
      <c r="B27" s="453">
        <v>50000</v>
      </c>
      <c r="C27" s="451">
        <v>43824</v>
      </c>
      <c r="D27" s="446" t="s">
        <v>370</v>
      </c>
    </row>
    <row r="28" spans="1:4" ht="15.75" thickBot="1" x14ac:dyDescent="0.3">
      <c r="A28" s="445" t="s">
        <v>665</v>
      </c>
      <c r="B28" s="453">
        <v>40000</v>
      </c>
      <c r="C28" s="451">
        <v>43941</v>
      </c>
      <c r="D28" s="446" t="s">
        <v>370</v>
      </c>
    </row>
    <row r="29" spans="1:4" ht="15.75" thickBot="1" x14ac:dyDescent="0.3">
      <c r="A29" s="449"/>
      <c r="B29" s="454">
        <f>SUM(B21:B28)</f>
        <v>210000</v>
      </c>
    </row>
    <row r="30" spans="1:4" ht="15.75" thickBot="1" x14ac:dyDescent="0.3">
      <c r="A30" s="443"/>
      <c r="B30" s="452"/>
    </row>
    <row r="31" spans="1:4" ht="15.75" thickBot="1" x14ac:dyDescent="0.3">
      <c r="A31" s="450" t="s">
        <v>666</v>
      </c>
      <c r="B31" s="455">
        <f>B29-B18</f>
        <v>-38633.233000000007</v>
      </c>
    </row>
  </sheetData>
  <mergeCells count="4">
    <mergeCell ref="A1:D1"/>
    <mergeCell ref="A3:B3"/>
    <mergeCell ref="A9:B9"/>
    <mergeCell ref="A14:B1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3"/>
  <dimension ref="A1:S25"/>
  <sheetViews>
    <sheetView workbookViewId="0">
      <selection activeCell="W39" sqref="W39"/>
    </sheetView>
  </sheetViews>
  <sheetFormatPr baseColWidth="10" defaultRowHeight="12.75" x14ac:dyDescent="0.2"/>
  <cols>
    <col min="1" max="1" width="7.85546875" style="175" bestFit="1" customWidth="1"/>
    <col min="2" max="2" width="9" style="175" bestFit="1" customWidth="1"/>
    <col min="3" max="3" width="10.85546875" style="175" bestFit="1" customWidth="1"/>
    <col min="4" max="4" width="9.85546875" style="175" bestFit="1" customWidth="1"/>
    <col min="5" max="5" width="10.85546875" style="175" bestFit="1" customWidth="1"/>
    <col min="6" max="6" width="1.140625" style="175" customWidth="1"/>
    <col min="7" max="8" width="9" style="175" hidden="1" customWidth="1"/>
    <col min="9" max="9" width="36.42578125" style="175" hidden="1" customWidth="1"/>
    <col min="10" max="10" width="10.7109375" style="175" hidden="1" customWidth="1"/>
    <col min="11" max="11" width="10.140625" style="175" hidden="1" customWidth="1"/>
    <col min="12" max="12" width="1" style="175" customWidth="1"/>
    <col min="13" max="14" width="9" style="175" bestFit="1" customWidth="1"/>
    <col min="15" max="15" width="37.140625" style="175" bestFit="1" customWidth="1"/>
    <col min="16" max="16" width="10.7109375" style="175" bestFit="1" customWidth="1"/>
    <col min="17" max="17" width="9.28515625" style="175" bestFit="1" customWidth="1"/>
    <col min="18" max="18" width="2.7109375" style="175" customWidth="1"/>
    <col min="19" max="19" width="9.42578125" style="483" bestFit="1" customWidth="1"/>
    <col min="20" max="16384" width="11.42578125" style="175"/>
  </cols>
  <sheetData>
    <row r="1" spans="1:19" ht="13.5" thickBot="1" x14ac:dyDescent="0.25">
      <c r="A1" s="470" t="s">
        <v>71</v>
      </c>
      <c r="B1" s="168" t="s">
        <v>10</v>
      </c>
      <c r="C1" s="169" t="s">
        <v>70</v>
      </c>
      <c r="D1" s="169" t="s">
        <v>69</v>
      </c>
      <c r="E1" s="169" t="s">
        <v>68</v>
      </c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S1" s="483" t="s">
        <v>707</v>
      </c>
    </row>
    <row r="2" spans="1:19" x14ac:dyDescent="0.2">
      <c r="A2" s="181">
        <v>500000</v>
      </c>
      <c r="B2" s="182">
        <v>43921</v>
      </c>
      <c r="C2" s="471">
        <v>41666.666666666664</v>
      </c>
      <c r="D2" s="471">
        <v>7439.0389999999998</v>
      </c>
      <c r="E2" s="472">
        <f t="shared" ref="E2:E24" si="0">SUM(C2:D2)</f>
        <v>49105.705666666661</v>
      </c>
      <c r="F2" s="185"/>
      <c r="G2" s="175" t="s">
        <v>685</v>
      </c>
      <c r="H2" s="175" t="s">
        <v>685</v>
      </c>
      <c r="I2" s="175" t="s">
        <v>706</v>
      </c>
      <c r="J2" s="175" t="s">
        <v>691</v>
      </c>
      <c r="K2" s="161">
        <v>-41666.667000000001</v>
      </c>
      <c r="L2" s="167"/>
      <c r="M2" s="175" t="s">
        <v>685</v>
      </c>
      <c r="N2" s="175" t="s">
        <v>685</v>
      </c>
      <c r="O2" s="175" t="s">
        <v>686</v>
      </c>
      <c r="P2" s="175" t="s">
        <v>691</v>
      </c>
      <c r="Q2" s="161">
        <v>-7424.2939999999999</v>
      </c>
      <c r="S2" s="484">
        <f t="shared" ref="S2:S24" si="1">Q2+D2</f>
        <v>14.744999999999891</v>
      </c>
    </row>
    <row r="3" spans="1:19" x14ac:dyDescent="0.2">
      <c r="A3" s="186">
        <v>1150000</v>
      </c>
      <c r="B3" s="187">
        <v>43921</v>
      </c>
      <c r="C3" s="473">
        <v>95833.333333333328</v>
      </c>
      <c r="D3" s="473">
        <v>17109.791000000001</v>
      </c>
      <c r="E3" s="474">
        <f t="shared" si="0"/>
        <v>112943.12433333333</v>
      </c>
      <c r="F3" s="185"/>
      <c r="G3" s="175" t="s">
        <v>685</v>
      </c>
      <c r="H3" s="175" t="s">
        <v>685</v>
      </c>
      <c r="I3" s="175" t="s">
        <v>706</v>
      </c>
      <c r="J3" s="175" t="s">
        <v>702</v>
      </c>
      <c r="K3" s="161">
        <v>-95833.332999999999</v>
      </c>
      <c r="L3" s="167"/>
      <c r="M3" s="175" t="s">
        <v>685</v>
      </c>
      <c r="N3" s="175" t="s">
        <v>685</v>
      </c>
      <c r="O3" s="175" t="s">
        <v>686</v>
      </c>
      <c r="P3" s="175" t="s">
        <v>702</v>
      </c>
      <c r="Q3" s="161">
        <v>-17075.876</v>
      </c>
      <c r="S3" s="484">
        <f t="shared" si="1"/>
        <v>33.915000000000873</v>
      </c>
    </row>
    <row r="4" spans="1:19" x14ac:dyDescent="0.2">
      <c r="A4" s="186">
        <v>1000000</v>
      </c>
      <c r="B4" s="187">
        <v>43921</v>
      </c>
      <c r="C4" s="475">
        <v>83333.332999999999</v>
      </c>
      <c r="D4" s="475">
        <v>14878.079</v>
      </c>
      <c r="E4" s="474">
        <f t="shared" si="0"/>
        <v>98211.411999999997</v>
      </c>
      <c r="F4" s="185"/>
      <c r="G4" s="175" t="s">
        <v>685</v>
      </c>
      <c r="H4" s="175" t="s">
        <v>685</v>
      </c>
      <c r="I4" s="175" t="s">
        <v>706</v>
      </c>
      <c r="J4" s="175" t="s">
        <v>705</v>
      </c>
      <c r="K4" s="161">
        <v>-83333.332999999999</v>
      </c>
      <c r="L4" s="167"/>
      <c r="M4" s="175" t="s">
        <v>685</v>
      </c>
      <c r="N4" s="175" t="s">
        <v>685</v>
      </c>
      <c r="O4" s="175" t="s">
        <v>686</v>
      </c>
      <c r="P4" s="175" t="s">
        <v>705</v>
      </c>
      <c r="Q4" s="161">
        <v>-14848.588</v>
      </c>
      <c r="S4" s="484">
        <f t="shared" si="1"/>
        <v>29.490999999999985</v>
      </c>
    </row>
    <row r="5" spans="1:19" x14ac:dyDescent="0.2">
      <c r="A5" s="189">
        <v>350000</v>
      </c>
      <c r="B5" s="187">
        <v>43921</v>
      </c>
      <c r="C5" s="473">
        <v>29166.666666666668</v>
      </c>
      <c r="D5" s="473">
        <v>5207.3280000000004</v>
      </c>
      <c r="E5" s="474">
        <f t="shared" si="0"/>
        <v>34373.994666666666</v>
      </c>
      <c r="F5" s="185"/>
      <c r="G5" s="175" t="s">
        <v>685</v>
      </c>
      <c r="H5" s="175" t="s">
        <v>685</v>
      </c>
      <c r="I5" s="175" t="s">
        <v>706</v>
      </c>
      <c r="J5" s="175" t="s">
        <v>694</v>
      </c>
      <c r="K5" s="161">
        <v>-29166.667000000001</v>
      </c>
      <c r="L5" s="167"/>
      <c r="M5" s="175" t="s">
        <v>685</v>
      </c>
      <c r="N5" s="175" t="s">
        <v>685</v>
      </c>
      <c r="O5" s="175" t="s">
        <v>686</v>
      </c>
      <c r="P5" s="175" t="s">
        <v>694</v>
      </c>
      <c r="Q5" s="161">
        <v>-5197.0060000000003</v>
      </c>
      <c r="S5" s="484">
        <f t="shared" si="1"/>
        <v>10.322000000000116</v>
      </c>
    </row>
    <row r="6" spans="1:19" ht="13.5" thickBot="1" x14ac:dyDescent="0.25">
      <c r="A6" s="189">
        <v>500000</v>
      </c>
      <c r="B6" s="329">
        <v>43921</v>
      </c>
      <c r="C6" s="476">
        <v>41666.666666666664</v>
      </c>
      <c r="D6" s="476">
        <v>7439.0389999999998</v>
      </c>
      <c r="E6" s="477">
        <f t="shared" si="0"/>
        <v>49105.705666666661</v>
      </c>
      <c r="F6" s="185"/>
      <c r="G6" s="175" t="s">
        <v>685</v>
      </c>
      <c r="H6" s="175" t="s">
        <v>685</v>
      </c>
      <c r="I6" s="175" t="s">
        <v>706</v>
      </c>
      <c r="J6" s="175" t="s">
        <v>697</v>
      </c>
      <c r="K6" s="161">
        <v>-41666.667000000001</v>
      </c>
      <c r="L6" s="167"/>
      <c r="M6" s="175" t="s">
        <v>685</v>
      </c>
      <c r="N6" s="175" t="s">
        <v>685</v>
      </c>
      <c r="O6" s="175" t="s">
        <v>686</v>
      </c>
      <c r="P6" s="175" t="s">
        <v>697</v>
      </c>
      <c r="Q6" s="161">
        <v>-7424.2939999999999</v>
      </c>
      <c r="S6" s="484">
        <f t="shared" si="1"/>
        <v>14.744999999999891</v>
      </c>
    </row>
    <row r="7" spans="1:19" ht="14.25" thickBot="1" x14ac:dyDescent="0.3">
      <c r="A7" s="735" t="s">
        <v>417</v>
      </c>
      <c r="B7" s="736"/>
      <c r="C7" s="467">
        <f>SUM(C2:C6)</f>
        <v>291666.6663333333</v>
      </c>
      <c r="D7" s="468">
        <f>SUM(D2:D6)</f>
        <v>52073.275999999998</v>
      </c>
      <c r="E7" s="469">
        <f t="shared" si="0"/>
        <v>343739.94233333331</v>
      </c>
      <c r="F7" s="185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S7" s="484"/>
    </row>
    <row r="8" spans="1:19" x14ac:dyDescent="0.2">
      <c r="A8" s="184">
        <v>2500000</v>
      </c>
      <c r="B8" s="323">
        <v>43951</v>
      </c>
      <c r="C8" s="471">
        <v>208333.33333333334</v>
      </c>
      <c r="D8" s="471">
        <v>51848.957999999999</v>
      </c>
      <c r="E8" s="472">
        <f t="shared" si="0"/>
        <v>260182.29133333336</v>
      </c>
      <c r="F8" s="167"/>
      <c r="G8" s="175" t="s">
        <v>685</v>
      </c>
      <c r="H8" s="175" t="s">
        <v>685</v>
      </c>
      <c r="I8" s="175" t="s">
        <v>706</v>
      </c>
      <c r="J8" s="175" t="s">
        <v>699</v>
      </c>
      <c r="K8" s="161">
        <v>-208333.33300000001</v>
      </c>
      <c r="L8" s="167"/>
      <c r="M8" s="175" t="s">
        <v>685</v>
      </c>
      <c r="N8" s="175" t="s">
        <v>685</v>
      </c>
      <c r="O8" s="175" t="s">
        <v>686</v>
      </c>
      <c r="P8" s="175" t="s">
        <v>699</v>
      </c>
      <c r="Q8" s="161">
        <v>-56816.146000000001</v>
      </c>
      <c r="S8" s="484">
        <f t="shared" si="1"/>
        <v>-4967.1880000000019</v>
      </c>
    </row>
    <row r="9" spans="1:19" ht="13.5" thickBot="1" x14ac:dyDescent="0.25">
      <c r="A9" s="324">
        <v>1250000</v>
      </c>
      <c r="B9" s="325">
        <v>43951</v>
      </c>
      <c r="C9" s="476"/>
      <c r="D9" s="476">
        <v>27500</v>
      </c>
      <c r="E9" s="477">
        <f t="shared" si="0"/>
        <v>27500</v>
      </c>
      <c r="F9" s="167"/>
      <c r="G9" s="167"/>
      <c r="H9" s="167"/>
      <c r="I9" s="167"/>
      <c r="J9" s="167"/>
      <c r="K9" s="167"/>
      <c r="L9" s="167"/>
      <c r="M9" s="175" t="s">
        <v>685</v>
      </c>
      <c r="N9" s="175" t="s">
        <v>685</v>
      </c>
      <c r="O9" s="175" t="s">
        <v>686</v>
      </c>
      <c r="P9" s="175" t="s">
        <v>688</v>
      </c>
      <c r="Q9" s="161">
        <v>-28408.073</v>
      </c>
      <c r="S9" s="484">
        <f t="shared" si="1"/>
        <v>-908.07300000000032</v>
      </c>
    </row>
    <row r="10" spans="1:19" ht="14.25" thickBot="1" x14ac:dyDescent="0.3">
      <c r="A10" s="735" t="s">
        <v>418</v>
      </c>
      <c r="B10" s="736"/>
      <c r="C10" s="467">
        <f>SUM(C8:C8)</f>
        <v>208333.33333333334</v>
      </c>
      <c r="D10" s="468">
        <f>SUM(D8:D9)</f>
        <v>79348.957999999999</v>
      </c>
      <c r="E10" s="469">
        <f t="shared" si="0"/>
        <v>287682.29133333336</v>
      </c>
      <c r="F10" s="167"/>
      <c r="G10" s="167"/>
      <c r="H10" s="167"/>
      <c r="I10" s="167"/>
      <c r="J10" s="167"/>
      <c r="K10" s="167"/>
      <c r="L10" s="167"/>
      <c r="M10" s="167"/>
      <c r="N10" s="167"/>
      <c r="O10" s="167"/>
      <c r="P10" s="167"/>
      <c r="Q10" s="167"/>
      <c r="S10" s="484"/>
    </row>
    <row r="11" spans="1:19" x14ac:dyDescent="0.2">
      <c r="A11" s="478">
        <v>500000</v>
      </c>
      <c r="B11" s="182">
        <v>44012</v>
      </c>
      <c r="C11" s="307"/>
      <c r="D11" s="471">
        <v>5719.0969999999998</v>
      </c>
      <c r="E11" s="259">
        <f t="shared" si="0"/>
        <v>5719.0969999999998</v>
      </c>
      <c r="F11" s="185"/>
      <c r="G11" s="167"/>
      <c r="H11" s="167"/>
      <c r="I11" s="167"/>
      <c r="J11" s="167"/>
      <c r="K11" s="167"/>
      <c r="L11" s="167"/>
      <c r="M11" s="175" t="s">
        <v>685</v>
      </c>
      <c r="N11" s="175" t="s">
        <v>685</v>
      </c>
      <c r="O11" s="175" t="s">
        <v>686</v>
      </c>
      <c r="P11" s="175" t="s">
        <v>690</v>
      </c>
      <c r="Q11" s="161">
        <v>-5833.4790000000003</v>
      </c>
      <c r="S11" s="484">
        <f t="shared" si="1"/>
        <v>-114.38200000000052</v>
      </c>
    </row>
    <row r="12" spans="1:19" x14ac:dyDescent="0.2">
      <c r="A12" s="479">
        <v>1150000</v>
      </c>
      <c r="B12" s="187">
        <v>44012</v>
      </c>
      <c r="C12" s="475"/>
      <c r="D12" s="473">
        <v>13153.924000000001</v>
      </c>
      <c r="E12" s="261">
        <f t="shared" si="0"/>
        <v>13153.924000000001</v>
      </c>
      <c r="F12" s="167"/>
      <c r="G12" s="167"/>
      <c r="H12" s="167"/>
      <c r="I12" s="167"/>
      <c r="J12" s="167"/>
      <c r="K12" s="167"/>
      <c r="L12" s="167"/>
      <c r="M12" s="175" t="s">
        <v>685</v>
      </c>
      <c r="N12" s="175" t="s">
        <v>685</v>
      </c>
      <c r="O12" s="175" t="s">
        <v>686</v>
      </c>
      <c r="P12" s="175" t="s">
        <v>701</v>
      </c>
      <c r="Q12" s="161">
        <v>-13417.002</v>
      </c>
      <c r="S12" s="484">
        <f t="shared" si="1"/>
        <v>-263.07799999999952</v>
      </c>
    </row>
    <row r="13" spans="1:19" x14ac:dyDescent="0.2">
      <c r="A13" s="479">
        <v>1000000</v>
      </c>
      <c r="B13" s="187">
        <v>44012</v>
      </c>
      <c r="C13" s="475"/>
      <c r="D13" s="473">
        <v>11438.194</v>
      </c>
      <c r="E13" s="261">
        <f t="shared" si="0"/>
        <v>11438.194</v>
      </c>
      <c r="F13" s="167"/>
      <c r="G13" s="167"/>
      <c r="H13" s="167"/>
      <c r="I13" s="167"/>
      <c r="J13" s="167"/>
      <c r="K13" s="167"/>
      <c r="L13" s="167"/>
      <c r="M13" s="175" t="s">
        <v>685</v>
      </c>
      <c r="N13" s="175" t="s">
        <v>685</v>
      </c>
      <c r="O13" s="175" t="s">
        <v>686</v>
      </c>
      <c r="P13" s="175" t="s">
        <v>704</v>
      </c>
      <c r="Q13" s="161">
        <v>-11666.958000000001</v>
      </c>
      <c r="S13" s="484">
        <f t="shared" si="1"/>
        <v>-228.76400000000103</v>
      </c>
    </row>
    <row r="14" spans="1:19" x14ac:dyDescent="0.2">
      <c r="A14" s="480">
        <v>350000</v>
      </c>
      <c r="B14" s="187">
        <v>44012</v>
      </c>
      <c r="C14" s="475"/>
      <c r="D14" s="473">
        <v>4003.3679999999999</v>
      </c>
      <c r="E14" s="261">
        <f t="shared" si="0"/>
        <v>4003.3679999999999</v>
      </c>
      <c r="F14" s="167"/>
      <c r="G14" s="167"/>
      <c r="H14" s="167"/>
      <c r="I14" s="167"/>
      <c r="J14" s="167"/>
      <c r="K14" s="167"/>
      <c r="L14" s="167"/>
      <c r="M14" s="175" t="s">
        <v>685</v>
      </c>
      <c r="N14" s="175" t="s">
        <v>685</v>
      </c>
      <c r="O14" s="175" t="s">
        <v>686</v>
      </c>
      <c r="P14" s="175" t="s">
        <v>693</v>
      </c>
      <c r="Q14" s="161">
        <v>-4083.4349999999999</v>
      </c>
      <c r="S14" s="484">
        <f t="shared" si="1"/>
        <v>-80.067000000000007</v>
      </c>
    </row>
    <row r="15" spans="1:19" ht="13.5" thickBot="1" x14ac:dyDescent="0.25">
      <c r="A15" s="480">
        <v>500000</v>
      </c>
      <c r="B15" s="329">
        <v>44012</v>
      </c>
      <c r="C15" s="481"/>
      <c r="D15" s="476">
        <v>5719.0969999999998</v>
      </c>
      <c r="E15" s="320">
        <f t="shared" si="0"/>
        <v>5719.0969999999998</v>
      </c>
      <c r="F15" s="167"/>
      <c r="G15" s="167"/>
      <c r="H15" s="167"/>
      <c r="I15" s="167"/>
      <c r="J15" s="167"/>
      <c r="K15" s="167"/>
      <c r="L15" s="167"/>
      <c r="M15" s="175" t="s">
        <v>685</v>
      </c>
      <c r="N15" s="175" t="s">
        <v>685</v>
      </c>
      <c r="O15" s="175" t="s">
        <v>686</v>
      </c>
      <c r="P15" s="175" t="s">
        <v>696</v>
      </c>
      <c r="Q15" s="161">
        <v>-5833.4790000000003</v>
      </c>
      <c r="S15" s="484">
        <f t="shared" si="1"/>
        <v>-114.38200000000052</v>
      </c>
    </row>
    <row r="16" spans="1:19" ht="14.25" thickBot="1" x14ac:dyDescent="0.3">
      <c r="A16" s="735" t="s">
        <v>419</v>
      </c>
      <c r="B16" s="736"/>
      <c r="C16" s="467">
        <f>SUM(C11:C15)</f>
        <v>0</v>
      </c>
      <c r="D16" s="468">
        <f>SUM(D11:D15)</f>
        <v>40033.68</v>
      </c>
      <c r="E16" s="469">
        <f t="shared" si="0"/>
        <v>40033.68</v>
      </c>
      <c r="F16" s="167"/>
      <c r="G16" s="167"/>
      <c r="H16" s="167"/>
      <c r="I16" s="167"/>
      <c r="J16" s="167"/>
      <c r="K16" s="167"/>
      <c r="L16" s="167"/>
      <c r="M16" s="167"/>
      <c r="N16" s="167"/>
      <c r="O16" s="167"/>
      <c r="P16" s="167"/>
      <c r="Q16" s="167"/>
      <c r="S16" s="484"/>
    </row>
    <row r="17" spans="1:19" x14ac:dyDescent="0.2">
      <c r="A17" s="184">
        <v>2500000</v>
      </c>
      <c r="B17" s="323">
        <v>44043</v>
      </c>
      <c r="C17" s="471"/>
      <c r="D17" s="471">
        <v>48182.87</v>
      </c>
      <c r="E17" s="472">
        <f t="shared" si="0"/>
        <v>48182.87</v>
      </c>
      <c r="F17" s="167"/>
      <c r="G17" s="167"/>
      <c r="H17" s="167"/>
      <c r="I17" s="167"/>
      <c r="J17" s="167"/>
      <c r="K17" s="167"/>
      <c r="L17" s="167"/>
      <c r="M17" s="175" t="s">
        <v>685</v>
      </c>
      <c r="N17" s="175" t="s">
        <v>685</v>
      </c>
      <c r="O17" s="175" t="s">
        <v>686</v>
      </c>
      <c r="P17" s="175" t="s">
        <v>698</v>
      </c>
      <c r="Q17" s="161">
        <v>-48182.87</v>
      </c>
      <c r="S17" s="484">
        <f t="shared" si="1"/>
        <v>0</v>
      </c>
    </row>
    <row r="18" spans="1:19" ht="13.5" thickBot="1" x14ac:dyDescent="0.25">
      <c r="A18" s="324">
        <v>1250000</v>
      </c>
      <c r="B18" s="325">
        <v>44043</v>
      </c>
      <c r="C18" s="476">
        <v>104166.66666666667</v>
      </c>
      <c r="D18" s="476">
        <v>26500.579000000002</v>
      </c>
      <c r="E18" s="477">
        <f>SUM(C18:D18)</f>
        <v>130667.24566666667</v>
      </c>
      <c r="F18" s="167"/>
      <c r="G18" s="175" t="s">
        <v>685</v>
      </c>
      <c r="H18" s="175" t="s">
        <v>685</v>
      </c>
      <c r="I18" s="175" t="s">
        <v>706</v>
      </c>
      <c r="J18" s="175" t="s">
        <v>687</v>
      </c>
      <c r="K18" s="161">
        <v>-104166.667</v>
      </c>
      <c r="L18" s="167"/>
      <c r="M18" s="175" t="s">
        <v>685</v>
      </c>
      <c r="N18" s="175" t="s">
        <v>685</v>
      </c>
      <c r="O18" s="175" t="s">
        <v>686</v>
      </c>
      <c r="P18" s="175" t="s">
        <v>687</v>
      </c>
      <c r="Q18" s="161">
        <v>-26500.579000000002</v>
      </c>
      <c r="S18" s="484">
        <f t="shared" si="1"/>
        <v>0</v>
      </c>
    </row>
    <row r="19" spans="1:19" ht="14.25" thickBot="1" x14ac:dyDescent="0.3">
      <c r="A19" s="735" t="s">
        <v>420</v>
      </c>
      <c r="B19" s="736"/>
      <c r="C19" s="468">
        <f>SUM(C17:C18)</f>
        <v>104166.66666666667</v>
      </c>
      <c r="D19" s="468">
        <f>SUM(D17:D18)</f>
        <v>74683.449000000008</v>
      </c>
      <c r="E19" s="468">
        <f>SUM(E17:E18)</f>
        <v>178850.11566666668</v>
      </c>
      <c r="F19" s="167"/>
      <c r="G19" s="167"/>
      <c r="H19" s="167"/>
      <c r="I19" s="167"/>
      <c r="J19" s="167"/>
      <c r="K19" s="167"/>
      <c r="L19" s="167"/>
      <c r="M19" s="167"/>
      <c r="N19" s="167"/>
      <c r="O19" s="167"/>
      <c r="P19" s="167"/>
      <c r="Q19" s="167"/>
      <c r="S19" s="484"/>
    </row>
    <row r="20" spans="1:19" x14ac:dyDescent="0.2">
      <c r="A20" s="181">
        <v>500000</v>
      </c>
      <c r="B20" s="323">
        <v>44104</v>
      </c>
      <c r="C20" s="471">
        <v>41666.666666666664</v>
      </c>
      <c r="D20" s="471">
        <v>5775.5559999999996</v>
      </c>
      <c r="E20" s="472">
        <f t="shared" si="0"/>
        <v>47442.222666666661</v>
      </c>
      <c r="F20" s="167"/>
      <c r="G20" s="175" t="s">
        <v>685</v>
      </c>
      <c r="H20" s="175" t="s">
        <v>685</v>
      </c>
      <c r="I20" s="175" t="s">
        <v>706</v>
      </c>
      <c r="J20" s="175" t="s">
        <v>689</v>
      </c>
      <c r="K20" s="161">
        <v>-41666.667000000001</v>
      </c>
      <c r="L20" s="167"/>
      <c r="M20" s="175" t="s">
        <v>685</v>
      </c>
      <c r="N20" s="175" t="s">
        <v>685</v>
      </c>
      <c r="O20" s="175" t="s">
        <v>686</v>
      </c>
      <c r="P20" s="175" t="s">
        <v>689</v>
      </c>
      <c r="Q20" s="161">
        <v>-5784.5</v>
      </c>
      <c r="S20" s="484">
        <f t="shared" si="1"/>
        <v>-8.9440000000004147</v>
      </c>
    </row>
    <row r="21" spans="1:19" x14ac:dyDescent="0.2">
      <c r="A21" s="186">
        <v>1150000</v>
      </c>
      <c r="B21" s="482">
        <v>44104</v>
      </c>
      <c r="C21" s="473">
        <v>95833.333333333328</v>
      </c>
      <c r="D21" s="473">
        <v>13283.778</v>
      </c>
      <c r="E21" s="474">
        <f t="shared" si="0"/>
        <v>109117.11133333333</v>
      </c>
      <c r="F21" s="167"/>
      <c r="G21" s="175" t="s">
        <v>685</v>
      </c>
      <c r="H21" s="175" t="s">
        <v>685</v>
      </c>
      <c r="I21" s="175" t="s">
        <v>706</v>
      </c>
      <c r="J21" s="175" t="s">
        <v>700</v>
      </c>
      <c r="K21" s="161">
        <v>-95833.332999999999</v>
      </c>
      <c r="L21" s="167"/>
      <c r="M21" s="175" t="s">
        <v>685</v>
      </c>
      <c r="N21" s="175" t="s">
        <v>685</v>
      </c>
      <c r="O21" s="175" t="s">
        <v>686</v>
      </c>
      <c r="P21" s="175" t="s">
        <v>700</v>
      </c>
      <c r="Q21" s="161">
        <v>-13304.35</v>
      </c>
      <c r="S21" s="484">
        <f t="shared" si="1"/>
        <v>-20.572000000000116</v>
      </c>
    </row>
    <row r="22" spans="1:19" x14ac:dyDescent="0.2">
      <c r="A22" s="186">
        <v>1000000</v>
      </c>
      <c r="B22" s="482">
        <v>44104</v>
      </c>
      <c r="C22" s="475">
        <v>83333.332999999999</v>
      </c>
      <c r="D22" s="473">
        <v>11551.111000000001</v>
      </c>
      <c r="E22" s="474">
        <f t="shared" si="0"/>
        <v>94884.444000000003</v>
      </c>
      <c r="F22" s="167"/>
      <c r="G22" s="175" t="s">
        <v>685</v>
      </c>
      <c r="H22" s="175" t="s">
        <v>685</v>
      </c>
      <c r="I22" s="175" t="s">
        <v>706</v>
      </c>
      <c r="J22" s="175" t="s">
        <v>703</v>
      </c>
      <c r="K22" s="161">
        <v>-83333.332999999999</v>
      </c>
      <c r="L22" s="167"/>
      <c r="M22" s="175" t="s">
        <v>685</v>
      </c>
      <c r="N22" s="175" t="s">
        <v>685</v>
      </c>
      <c r="O22" s="175" t="s">
        <v>686</v>
      </c>
      <c r="P22" s="175" t="s">
        <v>703</v>
      </c>
      <c r="Q22" s="161">
        <v>-11569</v>
      </c>
      <c r="S22" s="484">
        <f t="shared" si="1"/>
        <v>-17.888999999999214</v>
      </c>
    </row>
    <row r="23" spans="1:19" x14ac:dyDescent="0.2">
      <c r="A23" s="189">
        <v>350000</v>
      </c>
      <c r="B23" s="187">
        <v>44104</v>
      </c>
      <c r="C23" s="473">
        <v>29166.666666666668</v>
      </c>
      <c r="D23" s="473">
        <v>4042.8890000000001</v>
      </c>
      <c r="E23" s="474">
        <f t="shared" si="0"/>
        <v>33209.555666666667</v>
      </c>
      <c r="F23" s="167"/>
      <c r="G23" s="175" t="s">
        <v>685</v>
      </c>
      <c r="H23" s="175" t="s">
        <v>685</v>
      </c>
      <c r="I23" s="175" t="s">
        <v>706</v>
      </c>
      <c r="J23" s="175" t="s">
        <v>692</v>
      </c>
      <c r="K23" s="161">
        <v>-29166.667000000001</v>
      </c>
      <c r="L23" s="167"/>
      <c r="M23" s="175" t="s">
        <v>685</v>
      </c>
      <c r="N23" s="175" t="s">
        <v>685</v>
      </c>
      <c r="O23" s="175" t="s">
        <v>686</v>
      </c>
      <c r="P23" s="175" t="s">
        <v>692</v>
      </c>
      <c r="Q23" s="161">
        <v>-4049.15</v>
      </c>
      <c r="S23" s="484">
        <f t="shared" si="1"/>
        <v>-6.2609999999999673</v>
      </c>
    </row>
    <row r="24" spans="1:19" ht="13.5" thickBot="1" x14ac:dyDescent="0.25">
      <c r="A24" s="189">
        <v>500000</v>
      </c>
      <c r="B24" s="329">
        <v>44104</v>
      </c>
      <c r="C24" s="476">
        <v>41666.666666666664</v>
      </c>
      <c r="D24" s="476">
        <v>5775.5559999999996</v>
      </c>
      <c r="E24" s="477">
        <f t="shared" si="0"/>
        <v>47442.222666666661</v>
      </c>
      <c r="F24" s="167"/>
      <c r="G24" s="175" t="s">
        <v>685</v>
      </c>
      <c r="H24" s="175" t="s">
        <v>685</v>
      </c>
      <c r="I24" s="175" t="s">
        <v>706</v>
      </c>
      <c r="J24" s="175" t="s">
        <v>695</v>
      </c>
      <c r="K24" s="161">
        <v>-41666.667000000001</v>
      </c>
      <c r="L24" s="167"/>
      <c r="M24" s="175" t="s">
        <v>685</v>
      </c>
      <c r="N24" s="175" t="s">
        <v>685</v>
      </c>
      <c r="O24" s="175" t="s">
        <v>686</v>
      </c>
      <c r="P24" s="175" t="s">
        <v>695</v>
      </c>
      <c r="Q24" s="161">
        <v>-5784.5</v>
      </c>
      <c r="S24" s="484">
        <f t="shared" si="1"/>
        <v>-8.9440000000004147</v>
      </c>
    </row>
    <row r="25" spans="1:19" ht="14.25" thickBot="1" x14ac:dyDescent="0.3">
      <c r="A25" s="735" t="s">
        <v>420</v>
      </c>
      <c r="B25" s="736"/>
      <c r="C25" s="468">
        <f>SUM(C20:C24)</f>
        <v>291666.6663333333</v>
      </c>
      <c r="D25" s="468">
        <f>SUM(D20:D24)</f>
        <v>40428.89</v>
      </c>
      <c r="E25" s="468">
        <f>SUM(E20:E24)</f>
        <v>332095.55633333331</v>
      </c>
    </row>
  </sheetData>
  <mergeCells count="5">
    <mergeCell ref="A25:B25"/>
    <mergeCell ref="A7:B7"/>
    <mergeCell ref="A10:B10"/>
    <mergeCell ref="A16:B16"/>
    <mergeCell ref="A19:B19"/>
  </mergeCells>
  <pageMargins left="0.16" right="0.70866141732283472" top="0.74803149606299213" bottom="0.74803149606299213" header="0.31496062992125984" footer="0.31496062992125984"/>
  <pageSetup paperSize="9" orientation="landscape" verticalDpi="18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24"/>
  <dimension ref="A1:F14"/>
  <sheetViews>
    <sheetView workbookViewId="0">
      <selection activeCell="K27" sqref="K27"/>
    </sheetView>
  </sheetViews>
  <sheetFormatPr baseColWidth="10" defaultRowHeight="15" x14ac:dyDescent="0.25"/>
  <cols>
    <col min="1" max="1" width="16.5703125" style="615" bestFit="1" customWidth="1"/>
    <col min="2" max="2" width="11.42578125" style="35"/>
    <col min="3" max="4" width="11.42578125" style="14"/>
    <col min="6" max="6" width="11.42578125" style="14"/>
  </cols>
  <sheetData>
    <row r="1" spans="1:6" ht="15.75" thickBot="1" x14ac:dyDescent="0.3">
      <c r="B1" s="618" t="s">
        <v>536</v>
      </c>
      <c r="C1" s="619" t="s">
        <v>980</v>
      </c>
      <c r="D1" s="620" t="s">
        <v>538</v>
      </c>
    </row>
    <row r="2" spans="1:6" x14ac:dyDescent="0.25">
      <c r="A2" s="737" t="s">
        <v>802</v>
      </c>
      <c r="B2" s="621">
        <v>20913</v>
      </c>
      <c r="C2" s="424">
        <v>1.8</v>
      </c>
      <c r="D2" s="416">
        <f>+B2*C2</f>
        <v>37643.4</v>
      </c>
      <c r="F2" s="14">
        <f>+D2*1.19</f>
        <v>44795.646000000001</v>
      </c>
    </row>
    <row r="3" spans="1:6" ht="15.75" thickBot="1" x14ac:dyDescent="0.3">
      <c r="A3" s="738"/>
      <c r="B3" s="622">
        <v>4009</v>
      </c>
      <c r="C3" s="428">
        <v>1.9</v>
      </c>
      <c r="D3" s="413">
        <f t="shared" ref="D3:D14" si="0">+B3*C3</f>
        <v>7617.0999999999995</v>
      </c>
      <c r="F3" s="14">
        <f t="shared" ref="F3:F14" si="1">+D3*1.19</f>
        <v>9064.3489999999983</v>
      </c>
    </row>
    <row r="4" spans="1:6" ht="15.75" thickBot="1" x14ac:dyDescent="0.3"/>
    <row r="5" spans="1:6" x14ac:dyDescent="0.25">
      <c r="A5" s="737" t="s">
        <v>117</v>
      </c>
      <c r="B5" s="621">
        <v>7842</v>
      </c>
      <c r="C5" s="424">
        <v>4.7</v>
      </c>
      <c r="D5" s="416">
        <f t="shared" si="0"/>
        <v>36857.4</v>
      </c>
      <c r="F5" s="14">
        <f t="shared" si="1"/>
        <v>43860.305999999997</v>
      </c>
    </row>
    <row r="6" spans="1:6" x14ac:dyDescent="0.25">
      <c r="A6" s="739"/>
      <c r="B6" s="623">
        <v>338</v>
      </c>
      <c r="C6" s="426">
        <v>5</v>
      </c>
      <c r="D6" s="417">
        <f t="shared" si="0"/>
        <v>1690</v>
      </c>
      <c r="F6" s="14">
        <f t="shared" si="1"/>
        <v>2011.1</v>
      </c>
    </row>
    <row r="7" spans="1:6" ht="15.75" thickBot="1" x14ac:dyDescent="0.3">
      <c r="A7" s="738"/>
      <c r="B7" s="622">
        <f>1577+16</f>
        <v>1593</v>
      </c>
      <c r="C7" s="428">
        <v>4.4000000000000004</v>
      </c>
      <c r="D7" s="413">
        <f t="shared" si="0"/>
        <v>7009.2000000000007</v>
      </c>
      <c r="F7" s="14">
        <f t="shared" si="1"/>
        <v>8340.9480000000003</v>
      </c>
    </row>
    <row r="8" spans="1:6" ht="15.75" thickBot="1" x14ac:dyDescent="0.3"/>
    <row r="9" spans="1:6" ht="15.75" thickBot="1" x14ac:dyDescent="0.3">
      <c r="A9" s="625" t="s">
        <v>435</v>
      </c>
      <c r="B9" s="624">
        <v>6972</v>
      </c>
      <c r="C9" s="616">
        <v>1.6</v>
      </c>
      <c r="D9" s="617">
        <f t="shared" si="0"/>
        <v>11155.2</v>
      </c>
      <c r="F9" s="14">
        <f t="shared" si="1"/>
        <v>13274.688</v>
      </c>
    </row>
    <row r="10" spans="1:6" ht="15.75" thickBot="1" x14ac:dyDescent="0.3"/>
    <row r="11" spans="1:6" x14ac:dyDescent="0.25">
      <c r="A11" s="737" t="s">
        <v>312</v>
      </c>
      <c r="B11" s="621">
        <v>2048</v>
      </c>
      <c r="C11" s="424">
        <v>34</v>
      </c>
      <c r="D11" s="416">
        <f t="shared" si="0"/>
        <v>69632</v>
      </c>
      <c r="F11" s="14">
        <f t="shared" si="1"/>
        <v>82862.080000000002</v>
      </c>
    </row>
    <row r="12" spans="1:6" ht="15.75" thickBot="1" x14ac:dyDescent="0.3">
      <c r="A12" s="738"/>
      <c r="B12" s="622">
        <v>783</v>
      </c>
      <c r="C12" s="428">
        <v>36.5</v>
      </c>
      <c r="D12" s="413">
        <f t="shared" si="0"/>
        <v>28579.5</v>
      </c>
      <c r="F12" s="14">
        <f t="shared" si="1"/>
        <v>34009.604999999996</v>
      </c>
    </row>
    <row r="13" spans="1:6" ht="15.75" thickBot="1" x14ac:dyDescent="0.3"/>
    <row r="14" spans="1:6" ht="15.75" thickBot="1" x14ac:dyDescent="0.3">
      <c r="A14" s="625" t="s">
        <v>979</v>
      </c>
      <c r="B14" s="624">
        <v>14474</v>
      </c>
      <c r="C14" s="616">
        <v>2.35</v>
      </c>
      <c r="D14" s="617">
        <f t="shared" si="0"/>
        <v>34013.9</v>
      </c>
      <c r="F14" s="14">
        <f t="shared" si="1"/>
        <v>40476.540999999997</v>
      </c>
    </row>
  </sheetData>
  <mergeCells count="3">
    <mergeCell ref="A2:A3"/>
    <mergeCell ref="A5:A7"/>
    <mergeCell ref="A11:A12"/>
  </mergeCells>
  <pageMargins left="0.7" right="0.7" top="0.75" bottom="0.75" header="0.3" footer="0.3"/>
  <pageSetup paperSize="9" orientation="portrait" horizontalDpi="180" verticalDpi="18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25</vt:i4>
      </vt:variant>
      <vt:variant>
        <vt:lpstr>Plages nommées</vt:lpstr>
      </vt:variant>
      <vt:variant>
        <vt:i4>11</vt:i4>
      </vt:variant>
    </vt:vector>
  </HeadingPairs>
  <TitlesOfParts>
    <vt:vector size="36" baseType="lpstr">
      <vt:lpstr>06-2021</vt:lpstr>
      <vt:lpstr>etranger</vt:lpstr>
      <vt:lpstr>CMT</vt:lpstr>
      <vt:lpstr>EXPORT</vt:lpstr>
      <vt:lpstr>CT</vt:lpstr>
      <vt:lpstr>TR </vt:lpstr>
      <vt:lpstr>STA</vt:lpstr>
      <vt:lpstr>SND</vt:lpstr>
      <vt:lpstr>TIP</vt:lpstr>
      <vt:lpstr>NBI</vt:lpstr>
      <vt:lpstr>FH</vt:lpstr>
      <vt:lpstr>I Z</vt:lpstr>
      <vt:lpstr>HAZEM</vt:lpstr>
      <vt:lpstr>Feuil1</vt:lpstr>
      <vt:lpstr>Feuil2</vt:lpstr>
      <vt:lpstr>Feuil3</vt:lpstr>
      <vt:lpstr>Feuil4</vt:lpstr>
      <vt:lpstr>Feuil5</vt:lpstr>
      <vt:lpstr>SIA</vt:lpstr>
      <vt:lpstr>AUTRE FACTURE</vt:lpstr>
      <vt:lpstr>SOTRAPRO</vt:lpstr>
      <vt:lpstr>Feuil6</vt:lpstr>
      <vt:lpstr>Feuil7</vt:lpstr>
      <vt:lpstr>Feuil8</vt:lpstr>
      <vt:lpstr>Feuil9</vt:lpstr>
      <vt:lpstr>'AUTRE FACTURE'!Zone_d_impression</vt:lpstr>
      <vt:lpstr>CMT!Zone_d_impression</vt:lpstr>
      <vt:lpstr>CT!Zone_d_impression</vt:lpstr>
      <vt:lpstr>etranger!Zone_d_impression</vt:lpstr>
      <vt:lpstr>EXPORT!Zone_d_impression</vt:lpstr>
      <vt:lpstr>Feuil1!Zone_d_impression</vt:lpstr>
      <vt:lpstr>Feuil2!Zone_d_impression</vt:lpstr>
      <vt:lpstr>Feuil4!Zone_d_impression</vt:lpstr>
      <vt:lpstr>Feuil6!Zone_d_impression</vt:lpstr>
      <vt:lpstr>HAZEM!Zone_d_impression</vt:lpstr>
      <vt:lpstr>SOTRAPRO!Zone_d_impression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Mohamed Limaeim</cp:lastModifiedBy>
  <cp:lastPrinted>2021-04-26T14:40:40Z</cp:lastPrinted>
  <dcterms:created xsi:type="dcterms:W3CDTF">2016-03-21T13:00:29Z</dcterms:created>
  <dcterms:modified xsi:type="dcterms:W3CDTF">2025-01-11T15:34:07Z</dcterms:modified>
</cp:coreProperties>
</file>