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55" activeTab="13"/>
  </bookViews>
  <sheets>
    <sheet name="02-2016" sheetId="15" r:id="rId1"/>
    <sheet name="03-2016" sheetId="16" state="hidden" r:id="rId2"/>
    <sheet name="04-2016" sheetId="17" state="hidden" r:id="rId3"/>
    <sheet name="05-2016" sheetId="18" state="hidden" r:id="rId4"/>
    <sheet name="06-2016" sheetId="19" state="hidden" r:id="rId5"/>
    <sheet name="CT" sheetId="5" r:id="rId6"/>
    <sheet name="TR" sheetId="4" r:id="rId7"/>
    <sheet name="FED" sheetId="12" r:id="rId8"/>
    <sheet name="Etranger" sheetId="6" r:id="rId9"/>
    <sheet name="CMT" sheetId="7" r:id="rId10"/>
    <sheet name="EXPORT" sheetId="9" r:id="rId11"/>
    <sheet name="HAZEM 16" sheetId="20" r:id="rId12"/>
    <sheet name="HAZEM" sheetId="10" r:id="rId13"/>
    <sheet name="Feuil1" sheetId="13" r:id="rId14"/>
    <sheet name="Feuil2" sheetId="21" r:id="rId15"/>
    <sheet name="Feuil3" sheetId="22" r:id="rId16"/>
    <sheet name="Feuil4" sheetId="23" r:id="rId17"/>
  </sheets>
  <definedNames>
    <definedName name="_xlnm._FilterDatabase" localSheetId="5" hidden="1">CT!$A$1:$A$1</definedName>
    <definedName name="_xlnm._FilterDatabase" localSheetId="8" hidden="1">Etranger!$B$24:$J$62</definedName>
    <definedName name="_xlnm._FilterDatabase" localSheetId="10" hidden="1">EXPORT!$A$2:$N$3</definedName>
    <definedName name="_xlnm.Print_Area" localSheetId="0">'02-2016'!$A$1:$O$52</definedName>
    <definedName name="_xlnm.Print_Area" localSheetId="1">'03-2016'!$A$1:$O$52</definedName>
    <definedName name="_xlnm.Print_Area" localSheetId="2">'04-2016'!$A$1:$O$52</definedName>
    <definedName name="_xlnm.Print_Area" localSheetId="3">'05-2016'!$A$1:$O$52</definedName>
    <definedName name="_xlnm.Print_Area" localSheetId="4">'06-2016'!$A$1:$O$52</definedName>
    <definedName name="_xlnm.Print_Area" localSheetId="9">CMT!$B$15:$H$47</definedName>
    <definedName name="_xlnm.Print_Area" localSheetId="8">Etranger!$B$7:$J$27</definedName>
    <definedName name="_xlnm.Print_Area" localSheetId="10">EXPORT!$A$2:$M$38</definedName>
    <definedName name="_xlnm.Print_Area" localSheetId="7">FED!$A$10:$H$12</definedName>
    <definedName name="_xlnm.Print_Area" localSheetId="13">Feuil1!$A$1:$L$31</definedName>
    <definedName name="_xlnm.Print_Area" localSheetId="16">Feuil4!$A$5:$F$46</definedName>
    <definedName name="_xlnm.Print_Area" localSheetId="12">HAZEM!$H$127:$R$155</definedName>
    <definedName name="_xlnm.Print_Area" localSheetId="11">'HAZEM 16'!$A$2:$G$47</definedName>
  </definedNames>
  <calcPr calcId="125725"/>
</workbook>
</file>

<file path=xl/calcChain.xml><?xml version="1.0" encoding="utf-8"?>
<calcChain xmlns="http://schemas.openxmlformats.org/spreadsheetml/2006/main">
  <c r="H67" i="6"/>
  <c r="E67"/>
  <c r="H17"/>
  <c r="E17"/>
  <c r="H66"/>
  <c r="E66"/>
  <c r="H65"/>
  <c r="E65"/>
  <c r="H64"/>
  <c r="E64"/>
  <c r="H16"/>
  <c r="E16"/>
  <c r="H15"/>
  <c r="E15"/>
  <c r="E14"/>
  <c r="E13"/>
  <c r="E12"/>
  <c r="E11"/>
  <c r="H63"/>
  <c r="E63"/>
  <c r="K23" i="9"/>
  <c r="C44" i="23"/>
  <c r="C46"/>
  <c r="D45"/>
  <c r="D43"/>
  <c r="D42"/>
  <c r="C13" l="1"/>
  <c r="C41"/>
  <c r="C36"/>
  <c r="C32"/>
  <c r="C11"/>
  <c r="F40"/>
  <c r="D40"/>
  <c r="F31"/>
  <c r="D31"/>
  <c r="F30"/>
  <c r="D30"/>
  <c r="F35"/>
  <c r="D35"/>
  <c r="F29"/>
  <c r="D29"/>
  <c r="F28"/>
  <c r="D28"/>
  <c r="F39"/>
  <c r="D39"/>
  <c r="F27"/>
  <c r="D27"/>
  <c r="F33"/>
  <c r="D33"/>
  <c r="C33"/>
  <c r="C34" s="1"/>
  <c r="F26"/>
  <c r="D26"/>
  <c r="F25"/>
  <c r="D25"/>
  <c r="F24"/>
  <c r="D24"/>
  <c r="F23"/>
  <c r="D23"/>
  <c r="F22"/>
  <c r="D22"/>
  <c r="F21"/>
  <c r="D21"/>
  <c r="F20"/>
  <c r="D20"/>
  <c r="F38"/>
  <c r="D38"/>
  <c r="F18"/>
  <c r="D18"/>
  <c r="F19"/>
  <c r="D19"/>
  <c r="F37"/>
  <c r="D37"/>
  <c r="F17"/>
  <c r="D17"/>
  <c r="D8"/>
  <c r="D9"/>
  <c r="D12"/>
  <c r="D10"/>
  <c r="D7"/>
  <c r="A1"/>
  <c r="F10"/>
  <c r="F12"/>
  <c r="F9"/>
  <c r="F8"/>
  <c r="F7"/>
  <c r="E20" i="6"/>
  <c r="D20"/>
  <c r="H62"/>
  <c r="E62"/>
  <c r="H13"/>
  <c r="H61"/>
  <c r="E61"/>
  <c r="H60"/>
  <c r="E60"/>
  <c r="H51"/>
  <c r="E51"/>
  <c r="H59"/>
  <c r="E59"/>
  <c r="H58"/>
  <c r="E58"/>
  <c r="H57"/>
  <c r="E57"/>
  <c r="H14"/>
  <c r="H50"/>
  <c r="E50"/>
  <c r="H44"/>
  <c r="E44"/>
  <c r="K20" i="9"/>
  <c r="K17" l="1"/>
  <c r="G11"/>
  <c r="F11"/>
  <c r="M11"/>
  <c r="F37" l="1"/>
  <c r="G37"/>
  <c r="M37"/>
  <c r="F49" i="20" l="1"/>
  <c r="C49"/>
  <c r="B34" l="1"/>
  <c r="F30"/>
  <c r="F38"/>
  <c r="F37"/>
  <c r="B39"/>
  <c r="F7"/>
  <c r="F25"/>
  <c r="F26"/>
  <c r="F27"/>
  <c r="F28"/>
  <c r="F29"/>
  <c r="F24"/>
  <c r="D30"/>
  <c r="F39" l="1"/>
  <c r="K162" i="10"/>
  <c r="F10" i="9"/>
  <c r="G10"/>
  <c r="M10"/>
  <c r="F36"/>
  <c r="G36"/>
  <c r="M36"/>
  <c r="C10" i="21"/>
  <c r="C11" s="1"/>
  <c r="E9"/>
  <c r="E8"/>
  <c r="E7"/>
  <c r="E6"/>
  <c r="E5"/>
  <c r="E4"/>
  <c r="G35" i="9"/>
  <c r="F35"/>
  <c r="G33"/>
  <c r="F33"/>
  <c r="M33"/>
  <c r="M34"/>
  <c r="M35"/>
  <c r="F50" i="20"/>
  <c r="E10" i="6" l="1"/>
  <c r="H11"/>
  <c r="H12"/>
  <c r="H53"/>
  <c r="E53"/>
  <c r="H52"/>
  <c r="E52"/>
  <c r="H54"/>
  <c r="E54"/>
  <c r="H55"/>
  <c r="E55"/>
  <c r="H56"/>
  <c r="E56"/>
  <c r="H49"/>
  <c r="E49"/>
  <c r="H46"/>
  <c r="E46"/>
  <c r="H45"/>
  <c r="E45"/>
  <c r="H48"/>
  <c r="E48"/>
  <c r="L40" i="15" l="1"/>
  <c r="E20"/>
  <c r="I13"/>
  <c r="I24"/>
  <c r="L42" l="1"/>
  <c r="E29" i="6"/>
  <c r="B6" i="15"/>
  <c r="L5"/>
  <c r="B11"/>
  <c r="B9"/>
  <c r="D841" i="5"/>
  <c r="D609"/>
  <c r="D258"/>
  <c r="N13" i="15"/>
  <c r="M13"/>
  <c r="F34" i="9"/>
  <c r="D26" i="20" l="1"/>
  <c r="D27"/>
  <c r="D28"/>
  <c r="D29"/>
  <c r="D25"/>
  <c r="M32" i="9" l="1"/>
  <c r="F32"/>
  <c r="E9" i="15"/>
  <c r="E12"/>
  <c r="J15"/>
  <c r="C50" i="20"/>
  <c r="C15"/>
  <c r="F8" i="15"/>
  <c r="N27"/>
  <c r="N30"/>
  <c r="J16"/>
  <c r="D53" i="4"/>
  <c r="D932" i="5"/>
  <c r="D930"/>
  <c r="D917"/>
  <c r="D24" i="20"/>
  <c r="F9" i="9"/>
  <c r="M9"/>
  <c r="F8"/>
  <c r="M8"/>
  <c r="F7"/>
  <c r="M7"/>
  <c r="F31"/>
  <c r="F30"/>
  <c r="F29"/>
  <c r="M29"/>
  <c r="M30"/>
  <c r="G30"/>
  <c r="M31"/>
  <c r="G31"/>
  <c r="D934" i="5" l="1"/>
  <c r="B15" i="20"/>
  <c r="F20" l="1"/>
  <c r="F19"/>
  <c r="F18"/>
  <c r="F21" l="1"/>
  <c r="F47"/>
  <c r="D47"/>
  <c r="D3" l="1"/>
  <c r="D4"/>
  <c r="D5"/>
  <c r="D6"/>
  <c r="D7"/>
  <c r="D8"/>
  <c r="D9"/>
  <c r="D10"/>
  <c r="D11"/>
  <c r="D12"/>
  <c r="D13"/>
  <c r="D14"/>
  <c r="D31"/>
  <c r="D32"/>
  <c r="D33"/>
  <c r="D44"/>
  <c r="D45"/>
  <c r="D46"/>
  <c r="F46"/>
  <c r="B21"/>
  <c r="F45" l="1"/>
  <c r="F44" l="1"/>
  <c r="F31" l="1"/>
  <c r="F32"/>
  <c r="F33"/>
  <c r="J48"/>
  <c r="J49" s="1"/>
  <c r="F34" l="1"/>
  <c r="F5"/>
  <c r="F4"/>
  <c r="F3"/>
  <c r="F6"/>
  <c r="F8"/>
  <c r="F10"/>
  <c r="F12"/>
  <c r="F14"/>
  <c r="F9"/>
  <c r="F13"/>
  <c r="F11"/>
  <c r="R159" i="10"/>
  <c r="O159"/>
  <c r="N159"/>
  <c r="F15" i="20" l="1"/>
  <c r="H40" i="6"/>
  <c r="E40"/>
  <c r="H31" l="1"/>
  <c r="E31"/>
  <c r="H34"/>
  <c r="E34"/>
  <c r="H41"/>
  <c r="E41"/>
  <c r="H43"/>
  <c r="E43"/>
  <c r="H8"/>
  <c r="H9"/>
  <c r="E7"/>
  <c r="E9"/>
  <c r="E8"/>
  <c r="G50" i="20" l="1"/>
  <c r="O164" i="10"/>
  <c r="O165" s="1"/>
  <c r="I155"/>
  <c r="K154"/>
  <c r="N154" s="1"/>
  <c r="D54" i="20" l="1"/>
  <c r="K155" i="10"/>
  <c r="O154"/>
  <c r="H10" i="6" l="1"/>
  <c r="F16" i="7" l="1"/>
  <c r="D40" i="4" l="1"/>
  <c r="E41" i="10"/>
  <c r="D55" i="4" l="1"/>
  <c r="H7" i="6"/>
  <c r="H38"/>
  <c r="E38"/>
  <c r="H37"/>
  <c r="E37"/>
  <c r="H47"/>
  <c r="E47"/>
  <c r="H39"/>
  <c r="E39"/>
  <c r="M50" i="19"/>
  <c r="O48"/>
  <c r="N48"/>
  <c r="L48"/>
  <c r="K48"/>
  <c r="J48"/>
  <c r="I48"/>
  <c r="H48"/>
  <c r="G48"/>
  <c r="F48"/>
  <c r="C48"/>
  <c r="B48"/>
  <c r="O37"/>
  <c r="N37"/>
  <c r="M37"/>
  <c r="L37"/>
  <c r="K37"/>
  <c r="J37"/>
  <c r="I37"/>
  <c r="H37"/>
  <c r="G37"/>
  <c r="F37"/>
  <c r="E37"/>
  <c r="D37"/>
  <c r="C37"/>
  <c r="B37"/>
  <c r="N31"/>
  <c r="N30"/>
  <c r="I29"/>
  <c r="I27"/>
  <c r="I23" s="1"/>
  <c r="I22" s="1"/>
  <c r="O23"/>
  <c r="N23"/>
  <c r="N22" s="1"/>
  <c r="M23"/>
  <c r="L23"/>
  <c r="K23"/>
  <c r="J23"/>
  <c r="H23"/>
  <c r="G23"/>
  <c r="F23"/>
  <c r="E23"/>
  <c r="D23"/>
  <c r="C23"/>
  <c r="B23"/>
  <c r="O22"/>
  <c r="L22"/>
  <c r="K22"/>
  <c r="J22"/>
  <c r="H22"/>
  <c r="G22"/>
  <c r="F22"/>
  <c r="C22"/>
  <c r="B22"/>
  <c r="M20"/>
  <c r="M8" s="1"/>
  <c r="I17"/>
  <c r="J14"/>
  <c r="M13"/>
  <c r="E13"/>
  <c r="O12"/>
  <c r="N12"/>
  <c r="M12"/>
  <c r="L12"/>
  <c r="K12"/>
  <c r="J12"/>
  <c r="J8" s="1"/>
  <c r="I12"/>
  <c r="H12"/>
  <c r="G12"/>
  <c r="E12"/>
  <c r="D12"/>
  <c r="D8" s="1"/>
  <c r="C10"/>
  <c r="C9"/>
  <c r="B9"/>
  <c r="O8"/>
  <c r="N8"/>
  <c r="L8"/>
  <c r="K8"/>
  <c r="I8"/>
  <c r="H8"/>
  <c r="G8"/>
  <c r="F8"/>
  <c r="E8"/>
  <c r="C8"/>
  <c r="B8"/>
  <c r="O4"/>
  <c r="O51" s="1"/>
  <c r="N4"/>
  <c r="M4"/>
  <c r="L4"/>
  <c r="L51" s="1"/>
  <c r="K4"/>
  <c r="K51" s="1"/>
  <c r="J4"/>
  <c r="I4"/>
  <c r="H4"/>
  <c r="H51" s="1"/>
  <c r="G4"/>
  <c r="G51" s="1"/>
  <c r="F4"/>
  <c r="F51" s="1"/>
  <c r="E4"/>
  <c r="D4"/>
  <c r="C4"/>
  <c r="C51" s="1"/>
  <c r="B4"/>
  <c r="B51" s="1"/>
  <c r="D3"/>
  <c r="M50" i="18"/>
  <c r="O48"/>
  <c r="N48"/>
  <c r="L48"/>
  <c r="K48"/>
  <c r="J48"/>
  <c r="I48"/>
  <c r="H48"/>
  <c r="G48"/>
  <c r="F48"/>
  <c r="C48"/>
  <c r="B48"/>
  <c r="O37"/>
  <c r="N37"/>
  <c r="M37"/>
  <c r="L37"/>
  <c r="K37"/>
  <c r="J37"/>
  <c r="I37"/>
  <c r="H37"/>
  <c r="G37"/>
  <c r="F37"/>
  <c r="E37"/>
  <c r="D37"/>
  <c r="C37"/>
  <c r="B37"/>
  <c r="N31"/>
  <c r="N30"/>
  <c r="I29"/>
  <c r="I27"/>
  <c r="I23" s="1"/>
  <c r="I22" s="1"/>
  <c r="O23"/>
  <c r="N23"/>
  <c r="N22" s="1"/>
  <c r="M23"/>
  <c r="L23"/>
  <c r="K23"/>
  <c r="J23"/>
  <c r="H23"/>
  <c r="G23"/>
  <c r="F23"/>
  <c r="E23"/>
  <c r="D23"/>
  <c r="C23"/>
  <c r="B23"/>
  <c r="O22"/>
  <c r="L22"/>
  <c r="K22"/>
  <c r="J22"/>
  <c r="H22"/>
  <c r="G22"/>
  <c r="F22"/>
  <c r="C22"/>
  <c r="B22"/>
  <c r="M20"/>
  <c r="M8" s="1"/>
  <c r="I17"/>
  <c r="J14"/>
  <c r="M13"/>
  <c r="E13"/>
  <c r="O12"/>
  <c r="N12"/>
  <c r="M12"/>
  <c r="L12"/>
  <c r="K12"/>
  <c r="J12"/>
  <c r="J8" s="1"/>
  <c r="I12"/>
  <c r="H12"/>
  <c r="G12"/>
  <c r="E12"/>
  <c r="D12"/>
  <c r="D8" s="1"/>
  <c r="C10"/>
  <c r="C9"/>
  <c r="B9"/>
  <c r="O8"/>
  <c r="N8"/>
  <c r="L8"/>
  <c r="K8"/>
  <c r="I8"/>
  <c r="H8"/>
  <c r="G8"/>
  <c r="F8"/>
  <c r="E8"/>
  <c r="C8"/>
  <c r="B8"/>
  <c r="O4"/>
  <c r="O51" s="1"/>
  <c r="N4"/>
  <c r="M4"/>
  <c r="L4"/>
  <c r="L51" s="1"/>
  <c r="K4"/>
  <c r="K51" s="1"/>
  <c r="J4"/>
  <c r="I4"/>
  <c r="H4"/>
  <c r="H51" s="1"/>
  <c r="G4"/>
  <c r="G51" s="1"/>
  <c r="F4"/>
  <c r="F51" s="1"/>
  <c r="E4"/>
  <c r="D4"/>
  <c r="C4"/>
  <c r="C51" s="1"/>
  <c r="B4"/>
  <c r="B51" s="1"/>
  <c r="D3"/>
  <c r="M50" i="17"/>
  <c r="O48"/>
  <c r="N48"/>
  <c r="L48"/>
  <c r="K48"/>
  <c r="J48"/>
  <c r="I48"/>
  <c r="H48"/>
  <c r="G48"/>
  <c r="F48"/>
  <c r="C48"/>
  <c r="B48"/>
  <c r="O37"/>
  <c r="N37"/>
  <c r="M37"/>
  <c r="L37"/>
  <c r="K37"/>
  <c r="J37"/>
  <c r="I37"/>
  <c r="H37"/>
  <c r="G37"/>
  <c r="F37"/>
  <c r="E37"/>
  <c r="D37"/>
  <c r="C37"/>
  <c r="B37"/>
  <c r="N31"/>
  <c r="N30"/>
  <c r="N23" s="1"/>
  <c r="N22" s="1"/>
  <c r="I29"/>
  <c r="I27"/>
  <c r="I23" s="1"/>
  <c r="I22" s="1"/>
  <c r="O23"/>
  <c r="M23"/>
  <c r="L23"/>
  <c r="K23"/>
  <c r="J23"/>
  <c r="H23"/>
  <c r="G23"/>
  <c r="F23"/>
  <c r="E23"/>
  <c r="D23"/>
  <c r="C23"/>
  <c r="B23"/>
  <c r="O22"/>
  <c r="L22"/>
  <c r="K22"/>
  <c r="J22"/>
  <c r="H22"/>
  <c r="G22"/>
  <c r="F22"/>
  <c r="F51" s="1"/>
  <c r="C22"/>
  <c r="B22"/>
  <c r="B51" s="1"/>
  <c r="M20"/>
  <c r="M8" s="1"/>
  <c r="I17"/>
  <c r="J14"/>
  <c r="M13"/>
  <c r="E13"/>
  <c r="O12"/>
  <c r="N12"/>
  <c r="M12"/>
  <c r="L12"/>
  <c r="K12"/>
  <c r="J12"/>
  <c r="J8" s="1"/>
  <c r="I12"/>
  <c r="H12"/>
  <c r="G12"/>
  <c r="E12"/>
  <c r="D12"/>
  <c r="D8" s="1"/>
  <c r="C10"/>
  <c r="C9"/>
  <c r="B9"/>
  <c r="O8"/>
  <c r="N8"/>
  <c r="L8"/>
  <c r="K8"/>
  <c r="I8"/>
  <c r="H8"/>
  <c r="G8"/>
  <c r="F8"/>
  <c r="E8"/>
  <c r="C8"/>
  <c r="B8"/>
  <c r="O4"/>
  <c r="O51" s="1"/>
  <c r="N4"/>
  <c r="M4"/>
  <c r="L4"/>
  <c r="L51" s="1"/>
  <c r="K4"/>
  <c r="K51" s="1"/>
  <c r="J4"/>
  <c r="I4"/>
  <c r="H4"/>
  <c r="H51" s="1"/>
  <c r="G4"/>
  <c r="G51" s="1"/>
  <c r="F4"/>
  <c r="E4"/>
  <c r="D4"/>
  <c r="C4"/>
  <c r="C51" s="1"/>
  <c r="B4"/>
  <c r="D3"/>
  <c r="M50" i="16"/>
  <c r="O48"/>
  <c r="N48"/>
  <c r="L48"/>
  <c r="K48"/>
  <c r="J48"/>
  <c r="I48"/>
  <c r="H48"/>
  <c r="G48"/>
  <c r="F48"/>
  <c r="C48"/>
  <c r="B48"/>
  <c r="O37"/>
  <c r="N37"/>
  <c r="M37"/>
  <c r="L37"/>
  <c r="K37"/>
  <c r="J37"/>
  <c r="I37"/>
  <c r="H37"/>
  <c r="G37"/>
  <c r="F37"/>
  <c r="E37"/>
  <c r="D37"/>
  <c r="C37"/>
  <c r="B37"/>
  <c r="N31"/>
  <c r="N30"/>
  <c r="I29"/>
  <c r="I27"/>
  <c r="I23" s="1"/>
  <c r="I22" s="1"/>
  <c r="O23"/>
  <c r="N23"/>
  <c r="N22" s="1"/>
  <c r="M23"/>
  <c r="L23"/>
  <c r="K23"/>
  <c r="J23"/>
  <c r="H23"/>
  <c r="G23"/>
  <c r="F23"/>
  <c r="E23"/>
  <c r="D23"/>
  <c r="C23"/>
  <c r="B23"/>
  <c r="O22"/>
  <c r="L22"/>
  <c r="K22"/>
  <c r="J22"/>
  <c r="H22"/>
  <c r="G22"/>
  <c r="F22"/>
  <c r="C22"/>
  <c r="B22"/>
  <c r="M20"/>
  <c r="M8" s="1"/>
  <c r="I17"/>
  <c r="J14"/>
  <c r="M13"/>
  <c r="E13"/>
  <c r="O12"/>
  <c r="N12"/>
  <c r="M12"/>
  <c r="L12"/>
  <c r="K12"/>
  <c r="J12"/>
  <c r="J8" s="1"/>
  <c r="I12"/>
  <c r="H12"/>
  <c r="G12"/>
  <c r="E12"/>
  <c r="D12"/>
  <c r="D8" s="1"/>
  <c r="C10"/>
  <c r="C9"/>
  <c r="B9"/>
  <c r="O8"/>
  <c r="N8"/>
  <c r="L8"/>
  <c r="K8"/>
  <c r="I8"/>
  <c r="H8"/>
  <c r="G8"/>
  <c r="F8"/>
  <c r="E8"/>
  <c r="C8"/>
  <c r="B8"/>
  <c r="O4"/>
  <c r="O51" s="1"/>
  <c r="N4"/>
  <c r="M4"/>
  <c r="L4"/>
  <c r="L51" s="1"/>
  <c r="K4"/>
  <c r="K51" s="1"/>
  <c r="J4"/>
  <c r="I4"/>
  <c r="H4"/>
  <c r="H51" s="1"/>
  <c r="G4"/>
  <c r="G51" s="1"/>
  <c r="F4"/>
  <c r="F51" s="1"/>
  <c r="E4"/>
  <c r="D4"/>
  <c r="C4"/>
  <c r="C51" s="1"/>
  <c r="B4"/>
  <c r="B51" s="1"/>
  <c r="D3"/>
  <c r="O48" i="15"/>
  <c r="N48"/>
  <c r="L48"/>
  <c r="K48"/>
  <c r="J48"/>
  <c r="I48"/>
  <c r="H48"/>
  <c r="G48"/>
  <c r="F48"/>
  <c r="C48"/>
  <c r="B48"/>
  <c r="O37"/>
  <c r="O22" s="1"/>
  <c r="N37"/>
  <c r="M37"/>
  <c r="L37"/>
  <c r="L22" s="1"/>
  <c r="K37"/>
  <c r="J37"/>
  <c r="J22" s="1"/>
  <c r="I37"/>
  <c r="H37"/>
  <c r="G37"/>
  <c r="F37"/>
  <c r="E37"/>
  <c r="D37"/>
  <c r="C37"/>
  <c r="C22" s="1"/>
  <c r="B37"/>
  <c r="B22" s="1"/>
  <c r="I23"/>
  <c r="O23"/>
  <c r="N23"/>
  <c r="N22" s="1"/>
  <c r="M23"/>
  <c r="L23"/>
  <c r="K23"/>
  <c r="J23"/>
  <c r="H23"/>
  <c r="H22" s="1"/>
  <c r="G23"/>
  <c r="G22" s="1"/>
  <c r="F23"/>
  <c r="E23"/>
  <c r="D23"/>
  <c r="C23"/>
  <c r="B23"/>
  <c r="K22"/>
  <c r="M12"/>
  <c r="M8" s="1"/>
  <c r="N12"/>
  <c r="N8" s="1"/>
  <c r="L12"/>
  <c r="K12"/>
  <c r="I12"/>
  <c r="I8" s="1"/>
  <c r="H12"/>
  <c r="G12"/>
  <c r="E8"/>
  <c r="D12"/>
  <c r="D8" s="1"/>
  <c r="L8"/>
  <c r="K8"/>
  <c r="H8"/>
  <c r="G8"/>
  <c r="C8"/>
  <c r="B8"/>
  <c r="O4"/>
  <c r="N4"/>
  <c r="M4"/>
  <c r="L4"/>
  <c r="K4"/>
  <c r="K51" s="1"/>
  <c r="J4"/>
  <c r="I4"/>
  <c r="H4"/>
  <c r="G4"/>
  <c r="F4"/>
  <c r="E4"/>
  <c r="D4"/>
  <c r="C4"/>
  <c r="B4"/>
  <c r="H51" l="1"/>
  <c r="G51"/>
  <c r="F22"/>
  <c r="F51" s="1"/>
  <c r="L51"/>
  <c r="I22"/>
  <c r="C51"/>
  <c r="B51"/>
  <c r="J51" i="19"/>
  <c r="J51" i="16"/>
  <c r="J51" i="18"/>
  <c r="J51" i="17"/>
  <c r="I51" i="15"/>
  <c r="N51" i="16"/>
  <c r="I51"/>
  <c r="I51" i="18"/>
  <c r="I51" i="17"/>
  <c r="N51" i="18"/>
  <c r="N51" i="15"/>
  <c r="I51" i="19"/>
  <c r="N51"/>
  <c r="N51" i="17"/>
  <c r="I151" i="10"/>
  <c r="K150"/>
  <c r="K149"/>
  <c r="K148"/>
  <c r="M28" i="9"/>
  <c r="L3" i="13"/>
  <c r="L4"/>
  <c r="L5"/>
  <c r="L6"/>
  <c r="L7"/>
  <c r="L8"/>
  <c r="L9"/>
  <c r="L10"/>
  <c r="L11"/>
  <c r="L29" s="1"/>
  <c r="L12"/>
  <c r="L13"/>
  <c r="L14"/>
  <c r="L15"/>
  <c r="L16"/>
  <c r="L17"/>
  <c r="L18"/>
  <c r="L19"/>
  <c r="L30" s="1"/>
  <c r="L20"/>
  <c r="L21"/>
  <c r="L22"/>
  <c r="L23"/>
  <c r="L24"/>
  <c r="L25"/>
  <c r="L26"/>
  <c r="L2"/>
  <c r="K8"/>
  <c r="I30"/>
  <c r="I29"/>
  <c r="I28"/>
  <c r="F30"/>
  <c r="D30"/>
  <c r="F29"/>
  <c r="D29"/>
  <c r="F28"/>
  <c r="D28"/>
  <c r="K151" i="10" l="1"/>
  <c r="L28" i="13"/>
  <c r="F28" i="9"/>
  <c r="F27"/>
  <c r="M27"/>
  <c r="F26"/>
  <c r="M26"/>
  <c r="K143" i="10"/>
  <c r="N143" s="1"/>
  <c r="O143" s="1"/>
  <c r="K144"/>
  <c r="N144" l="1"/>
  <c r="O144" s="1"/>
  <c r="H36" i="6" l="1"/>
  <c r="E36"/>
  <c r="H35"/>
  <c r="H42"/>
  <c r="E35"/>
  <c r="D42"/>
  <c r="H32"/>
  <c r="H33"/>
  <c r="E33"/>
  <c r="E32"/>
  <c r="H30"/>
  <c r="E30"/>
  <c r="H29"/>
  <c r="H28"/>
  <c r="E28"/>
  <c r="A1"/>
  <c r="E42" l="1"/>
  <c r="D71"/>
  <c r="E71"/>
  <c r="F6" i="9"/>
  <c r="M6"/>
  <c r="K124" i="10" l="1"/>
  <c r="I125"/>
  <c r="K123"/>
  <c r="I145"/>
  <c r="K142"/>
  <c r="K141"/>
  <c r="N141" s="1"/>
  <c r="O141" s="1"/>
  <c r="K140"/>
  <c r="K139"/>
  <c r="I136"/>
  <c r="K135"/>
  <c r="K134"/>
  <c r="N134" s="1"/>
  <c r="K133"/>
  <c r="K132"/>
  <c r="K131"/>
  <c r="K130"/>
  <c r="K129"/>
  <c r="K128"/>
  <c r="I120"/>
  <c r="K119"/>
  <c r="K118"/>
  <c r="K117"/>
  <c r="K116"/>
  <c r="C114"/>
  <c r="E113"/>
  <c r="E112"/>
  <c r="E111"/>
  <c r="K112"/>
  <c r="E110"/>
  <c r="K111"/>
  <c r="E109"/>
  <c r="K110"/>
  <c r="E108"/>
  <c r="I109"/>
  <c r="I113" s="1"/>
  <c r="E107"/>
  <c r="K108"/>
  <c r="K107"/>
  <c r="K106"/>
  <c r="C104"/>
  <c r="K105"/>
  <c r="E103"/>
  <c r="K104"/>
  <c r="E102"/>
  <c r="K103"/>
  <c r="E101"/>
  <c r="E100"/>
  <c r="E99"/>
  <c r="I100"/>
  <c r="K99"/>
  <c r="K98"/>
  <c r="C96"/>
  <c r="K97"/>
  <c r="E95"/>
  <c r="K96"/>
  <c r="E94"/>
  <c r="K95"/>
  <c r="E93"/>
  <c r="K94"/>
  <c r="E92"/>
  <c r="K93"/>
  <c r="E91"/>
  <c r="K92"/>
  <c r="E90"/>
  <c r="K91"/>
  <c r="E89"/>
  <c r="K90"/>
  <c r="K89"/>
  <c r="K88"/>
  <c r="C86"/>
  <c r="K87"/>
  <c r="E85"/>
  <c r="K86"/>
  <c r="E84"/>
  <c r="E83"/>
  <c r="E82"/>
  <c r="E81"/>
  <c r="E80"/>
  <c r="K81"/>
  <c r="E79"/>
  <c r="I80"/>
  <c r="K80" s="1"/>
  <c r="E78"/>
  <c r="K79"/>
  <c r="K78"/>
  <c r="I77"/>
  <c r="I82" s="1"/>
  <c r="C75"/>
  <c r="K76"/>
  <c r="E74"/>
  <c r="K75"/>
  <c r="E73"/>
  <c r="K74"/>
  <c r="E72"/>
  <c r="K73"/>
  <c r="E71"/>
  <c r="K72"/>
  <c r="K71"/>
  <c r="K70"/>
  <c r="C68"/>
  <c r="K69"/>
  <c r="E67"/>
  <c r="K68"/>
  <c r="E66"/>
  <c r="K67"/>
  <c r="E65"/>
  <c r="K66"/>
  <c r="E64"/>
  <c r="K65"/>
  <c r="E63"/>
  <c r="E62"/>
  <c r="E61"/>
  <c r="E60"/>
  <c r="K59"/>
  <c r="E59"/>
  <c r="K58"/>
  <c r="E58"/>
  <c r="K57"/>
  <c r="E57"/>
  <c r="K56"/>
  <c r="K55"/>
  <c r="K54"/>
  <c r="C54"/>
  <c r="K53"/>
  <c r="E53"/>
  <c r="K52"/>
  <c r="E52"/>
  <c r="K51"/>
  <c r="E51"/>
  <c r="K50"/>
  <c r="E50"/>
  <c r="K49"/>
  <c r="E49"/>
  <c r="K48"/>
  <c r="E48"/>
  <c r="K47"/>
  <c r="K46"/>
  <c r="I45"/>
  <c r="I60" s="1"/>
  <c r="C45"/>
  <c r="K44"/>
  <c r="E44"/>
  <c r="E43"/>
  <c r="E42"/>
  <c r="I41"/>
  <c r="K40"/>
  <c r="E40"/>
  <c r="K39"/>
  <c r="E39"/>
  <c r="K38"/>
  <c r="E38"/>
  <c r="K37"/>
  <c r="E37"/>
  <c r="K36"/>
  <c r="K35"/>
  <c r="K34"/>
  <c r="C34"/>
  <c r="K33"/>
  <c r="E33"/>
  <c r="K32"/>
  <c r="E32"/>
  <c r="K31"/>
  <c r="K30"/>
  <c r="C29"/>
  <c r="I27"/>
  <c r="E27"/>
  <c r="K26"/>
  <c r="K27" s="1"/>
  <c r="E25"/>
  <c r="I23"/>
  <c r="E23"/>
  <c r="K22"/>
  <c r="K21"/>
  <c r="E21"/>
  <c r="K20"/>
  <c r="K19"/>
  <c r="E19"/>
  <c r="K18"/>
  <c r="K17"/>
  <c r="K16"/>
  <c r="C16"/>
  <c r="K15"/>
  <c r="E14"/>
  <c r="I12"/>
  <c r="E12"/>
  <c r="K11"/>
  <c r="K10"/>
  <c r="E10"/>
  <c r="K9"/>
  <c r="E8"/>
  <c r="I6"/>
  <c r="E6"/>
  <c r="K5"/>
  <c r="K4"/>
  <c r="E4"/>
  <c r="E75" l="1"/>
  <c r="I159"/>
  <c r="K136"/>
  <c r="E96"/>
  <c r="K120"/>
  <c r="K125"/>
  <c r="K145"/>
  <c r="K6"/>
  <c r="K41"/>
  <c r="K23"/>
  <c r="E104"/>
  <c r="E114"/>
  <c r="E54"/>
  <c r="E68"/>
  <c r="K113"/>
  <c r="E16"/>
  <c r="K100"/>
  <c r="N140"/>
  <c r="O140" s="1"/>
  <c r="I158"/>
  <c r="O134"/>
  <c r="K12"/>
  <c r="E29"/>
  <c r="E86"/>
  <c r="N139"/>
  <c r="O139" s="1"/>
  <c r="E34"/>
  <c r="E45"/>
  <c r="K77"/>
  <c r="K82" s="1"/>
  <c r="N142"/>
  <c r="O142" s="1"/>
  <c r="K45"/>
  <c r="K60" s="1"/>
  <c r="K109"/>
  <c r="I167" l="1"/>
  <c r="K163"/>
  <c r="K164" s="1"/>
  <c r="K159"/>
  <c r="L159" s="1"/>
  <c r="K158"/>
  <c r="L158" s="1"/>
  <c r="D53" i="20" l="1"/>
  <c r="D57" s="1"/>
  <c r="K165" i="10"/>
  <c r="K168" l="1"/>
  <c r="M25" i="9"/>
  <c r="F25"/>
  <c r="M24"/>
  <c r="F24"/>
  <c r="M23"/>
  <c r="J23"/>
  <c r="F23"/>
  <c r="M22"/>
  <c r="F22"/>
  <c r="M21"/>
  <c r="F21"/>
  <c r="M20"/>
  <c r="F20"/>
  <c r="M19"/>
  <c r="F19"/>
  <c r="M18"/>
  <c r="F18"/>
  <c r="M17"/>
  <c r="F17"/>
  <c r="M5"/>
  <c r="J5"/>
  <c r="F5"/>
  <c r="M4"/>
  <c r="F4"/>
  <c r="O14" i="15"/>
  <c r="O12" s="1"/>
  <c r="O8" s="1"/>
  <c r="O51" s="1"/>
  <c r="J14" l="1"/>
  <c r="J12" s="1"/>
  <c r="J8" s="1"/>
  <c r="J51" s="1"/>
  <c r="M16" i="9"/>
  <c r="G16"/>
  <c r="F16"/>
  <c r="E11" i="12" l="1"/>
  <c r="E10"/>
  <c r="E12" s="1"/>
  <c r="E8"/>
  <c r="F5" i="7" l="1"/>
  <c r="F6" s="1"/>
  <c r="D6"/>
  <c r="E6"/>
  <c r="F7"/>
  <c r="D8"/>
  <c r="D10" s="1"/>
  <c r="E8"/>
  <c r="F17"/>
  <c r="D17"/>
  <c r="E17"/>
  <c r="F18"/>
  <c r="F19"/>
  <c r="D20"/>
  <c r="E20"/>
  <c r="F21"/>
  <c r="F22"/>
  <c r="F23"/>
  <c r="D24"/>
  <c r="E24"/>
  <c r="F25"/>
  <c r="F26"/>
  <c r="D27"/>
  <c r="E27"/>
  <c r="F28"/>
  <c r="F29"/>
  <c r="F30"/>
  <c r="D31"/>
  <c r="E31"/>
  <c r="F32"/>
  <c r="F33"/>
  <c r="D34"/>
  <c r="E34"/>
  <c r="F35"/>
  <c r="F36"/>
  <c r="D37"/>
  <c r="E37"/>
  <c r="F38"/>
  <c r="D39"/>
  <c r="E39"/>
  <c r="F40"/>
  <c r="F41"/>
  <c r="D42"/>
  <c r="E42"/>
  <c r="F43"/>
  <c r="D44"/>
  <c r="E44"/>
  <c r="F45"/>
  <c r="F46"/>
  <c r="D47"/>
  <c r="E47"/>
  <c r="F44" l="1"/>
  <c r="F34"/>
  <c r="E10"/>
  <c r="F31"/>
  <c r="F24"/>
  <c r="D49"/>
  <c r="F42"/>
  <c r="F39"/>
  <c r="F20"/>
  <c r="E49"/>
  <c r="E49" i="18"/>
  <c r="E48" s="1"/>
  <c r="E22" s="1"/>
  <c r="E51" s="1"/>
  <c r="E49" i="19"/>
  <c r="E48" s="1"/>
  <c r="E22" s="1"/>
  <c r="E51" s="1"/>
  <c r="E48" i="15"/>
  <c r="E22" s="1"/>
  <c r="E51" s="1"/>
  <c r="E49" i="16"/>
  <c r="E48" s="1"/>
  <c r="E22" s="1"/>
  <c r="E51" s="1"/>
  <c r="E49" i="17"/>
  <c r="E48" s="1"/>
  <c r="E22" s="1"/>
  <c r="E51" s="1"/>
  <c r="F47" i="7"/>
  <c r="F8"/>
  <c r="F10" s="1"/>
  <c r="M49" i="17"/>
  <c r="M48" s="1"/>
  <c r="M22" s="1"/>
  <c r="M51" s="1"/>
  <c r="M49" i="18"/>
  <c r="M48" s="1"/>
  <c r="M22" s="1"/>
  <c r="M51" s="1"/>
  <c r="M49" i="19"/>
  <c r="M48" s="1"/>
  <c r="M22" s="1"/>
  <c r="M51" s="1"/>
  <c r="M48" i="15"/>
  <c r="M22" s="1"/>
  <c r="M51" s="1"/>
  <c r="M49" i="16"/>
  <c r="M48" s="1"/>
  <c r="M22" s="1"/>
  <c r="M51" s="1"/>
  <c r="F27" i="7"/>
  <c r="D49" i="19"/>
  <c r="D48" s="1"/>
  <c r="D22" s="1"/>
  <c r="D51" s="1"/>
  <c r="D48" i="15"/>
  <c r="D22" s="1"/>
  <c r="D51" s="1"/>
  <c r="D49" i="16"/>
  <c r="D48" s="1"/>
  <c r="D22" s="1"/>
  <c r="D51" s="1"/>
  <c r="D49" i="17"/>
  <c r="D48" s="1"/>
  <c r="D22" s="1"/>
  <c r="D51" s="1"/>
  <c r="D49" i="18"/>
  <c r="D48" s="1"/>
  <c r="D22" s="1"/>
  <c r="D51" s="1"/>
  <c r="F37" i="7"/>
  <c r="F49" l="1"/>
  <c r="G49" i="20"/>
</calcChain>
</file>

<file path=xl/sharedStrings.xml><?xml version="1.0" encoding="utf-8"?>
<sst xmlns="http://schemas.openxmlformats.org/spreadsheetml/2006/main" count="3238" uniqueCount="952">
  <si>
    <t>STE MAGHREB TRUCKS COMPANY</t>
  </si>
  <si>
    <t>3R18371</t>
  </si>
  <si>
    <t>BEN ALI HAMDI</t>
  </si>
  <si>
    <t>1R03141</t>
  </si>
  <si>
    <t>JALEL BEN AHMED EL GABSI</t>
  </si>
  <si>
    <t>1R05103</t>
  </si>
  <si>
    <t>JAADI MONCEF</t>
  </si>
  <si>
    <t>4R14029</t>
  </si>
  <si>
    <t>Mont ouvert</t>
  </si>
  <si>
    <t>Echéance</t>
  </si>
  <si>
    <t>Nom</t>
  </si>
  <si>
    <t>Adr fact</t>
  </si>
  <si>
    <t>TITOUHI JALEL B SALEM</t>
  </si>
  <si>
    <t>8R08036</t>
  </si>
  <si>
    <t>GHARBI JALEL BEN BRAHIM</t>
  </si>
  <si>
    <t>8R09006</t>
  </si>
  <si>
    <t>SOUADI ABDELKADER</t>
  </si>
  <si>
    <t>8R09023</t>
  </si>
  <si>
    <t>FEKRI BEN MOHAMED BAKLOUTI</t>
  </si>
  <si>
    <t>8R11063</t>
  </si>
  <si>
    <t>ALI BEN AHMED CHAABANI</t>
  </si>
  <si>
    <t>7R16027</t>
  </si>
  <si>
    <t>MOHAMED NACEUR ABDELLI</t>
  </si>
  <si>
    <t>7r17011</t>
  </si>
  <si>
    <t>ZEYNEB BEN MOHAMED HEDI SAID</t>
  </si>
  <si>
    <t>6R21158</t>
  </si>
  <si>
    <t>HAOUARI CHOKRI</t>
  </si>
  <si>
    <t>6R23143</t>
  </si>
  <si>
    <t>TAIEB GHRIBI</t>
  </si>
  <si>
    <t>6R23048</t>
  </si>
  <si>
    <t>AWADNI MAATOUG</t>
  </si>
  <si>
    <t>6R23139</t>
  </si>
  <si>
    <t>EQUIP. AUTOS MOKNINE</t>
  </si>
  <si>
    <t>4R13048</t>
  </si>
  <si>
    <t>SOCIETE MANNAI BATIMENT</t>
  </si>
  <si>
    <t>4R13028</t>
  </si>
  <si>
    <t>FAYCEL BEN MOHAMMED ZARROUK</t>
  </si>
  <si>
    <t>4R12234</t>
  </si>
  <si>
    <t>DIWANI IBRAHIM EL HEDI</t>
  </si>
  <si>
    <t>4R14061</t>
  </si>
  <si>
    <t>DOUIK PIECES AUTOS</t>
  </si>
  <si>
    <t>4R12177</t>
  </si>
  <si>
    <t>STE PIECES AUT.ROYAL&amp;ENTRET</t>
  </si>
  <si>
    <t>4R13130</t>
  </si>
  <si>
    <t>HAMIDA SHILI</t>
  </si>
  <si>
    <t>4R14039</t>
  </si>
  <si>
    <t>ETS RACHED KALBOUSSI</t>
  </si>
  <si>
    <t>4R13083</t>
  </si>
  <si>
    <t>EL BARAKA VENTE PIECES RECH.</t>
  </si>
  <si>
    <t>4R14047</t>
  </si>
  <si>
    <t>STE DES EQUIP.INDUST.&amp;TRANSP</t>
  </si>
  <si>
    <t>4R12240</t>
  </si>
  <si>
    <t>STE.MAGHR. DE PIECES DE RECH</t>
  </si>
  <si>
    <t>4R12104</t>
  </si>
  <si>
    <t>ETS. JEDIDI RIADH</t>
  </si>
  <si>
    <t>4R12147</t>
  </si>
  <si>
    <t>STE MESTIRI ET FILS</t>
  </si>
  <si>
    <t>4R12189</t>
  </si>
  <si>
    <t>FREDJ BEN KHALIFA KLEBI</t>
  </si>
  <si>
    <t>3R15017</t>
  </si>
  <si>
    <t>STE GOMRI FRERES DE PIECES</t>
  </si>
  <si>
    <t>3R15036</t>
  </si>
  <si>
    <t>MOHAMED KCHAOU</t>
  </si>
  <si>
    <t>3R18254</t>
  </si>
  <si>
    <t>KALLEL HATEM</t>
  </si>
  <si>
    <t>3R18317</t>
  </si>
  <si>
    <t>SOCIETE ALI PIECES AUTOS</t>
  </si>
  <si>
    <t>3R18337</t>
  </si>
  <si>
    <t>MOHAMED AMINE BEN AMOR</t>
  </si>
  <si>
    <t>3R18375</t>
  </si>
  <si>
    <t>ETAB. FARHAT BOUJELBAN</t>
  </si>
  <si>
    <t>3R18101</t>
  </si>
  <si>
    <t>WAJDI BOUZGENDA</t>
  </si>
  <si>
    <t>3R18123</t>
  </si>
  <si>
    <t>STE IDEALE PIECES AUTOS SIPA</t>
  </si>
  <si>
    <t>3R18367</t>
  </si>
  <si>
    <t>SMAOUI MOHSEN</t>
  </si>
  <si>
    <t>3R18207</t>
  </si>
  <si>
    <t>GUIDARA ABDALLAH</t>
  </si>
  <si>
    <t>3R18264</t>
  </si>
  <si>
    <t>BENDHIEB BILEL [ DPR )</t>
  </si>
  <si>
    <t>3R18347</t>
  </si>
  <si>
    <t>COPI  AUTOS</t>
  </si>
  <si>
    <t>3R18061</t>
  </si>
  <si>
    <t>ZOUARI FRERES</t>
  </si>
  <si>
    <t>3R18119</t>
  </si>
  <si>
    <t>ETABLISSEMENT HABIB BEN NASR</t>
  </si>
  <si>
    <t>1R01478</t>
  </si>
  <si>
    <t>STE GLOBAL PIECES AUTOS</t>
  </si>
  <si>
    <t>1R02243</t>
  </si>
  <si>
    <t>STE ELECTRIC AUTO NABEUL</t>
  </si>
  <si>
    <t>1R05191</t>
  </si>
  <si>
    <t>KHALED DRIDI</t>
  </si>
  <si>
    <t>1R02193</t>
  </si>
  <si>
    <t>AMOR BEN ABDRAHMENE BIBANI</t>
  </si>
  <si>
    <t>1R02148</t>
  </si>
  <si>
    <t>SOMAI AMOR</t>
  </si>
  <si>
    <t>1R04073</t>
  </si>
  <si>
    <t>SOCIETE BOUJNAH</t>
  </si>
  <si>
    <t>1R02225</t>
  </si>
  <si>
    <t>STE COMPT EQUIP AUTOS</t>
  </si>
  <si>
    <t>1r02138</t>
  </si>
  <si>
    <t>STE COGEPA</t>
  </si>
  <si>
    <t>1R02235</t>
  </si>
  <si>
    <t>ABDELKADER B YOUSSEF GHARBI</t>
  </si>
  <si>
    <t>1R04120</t>
  </si>
  <si>
    <t>STE DOGHRI AL BARAKA</t>
  </si>
  <si>
    <t>1R02237</t>
  </si>
  <si>
    <t>HAITHEM BEN MAJID CHIHI</t>
  </si>
  <si>
    <t>1R03123</t>
  </si>
  <si>
    <t>BELGACEM BEN BOUBAKER MEJRI</t>
  </si>
  <si>
    <t>1R04105</t>
  </si>
  <si>
    <t>STE MED ALI DE PIECES DE</t>
  </si>
  <si>
    <t>1R06020</t>
  </si>
  <si>
    <t>MOHAMED BEN MOHAMED SAMIR</t>
  </si>
  <si>
    <t>1R04121</t>
  </si>
  <si>
    <t>SOCIETE PIECE AUTO ESSAID</t>
  </si>
  <si>
    <t>1R06103</t>
  </si>
  <si>
    <t>MOHAMED ZARAGA  Z P A</t>
  </si>
  <si>
    <t>1R02199</t>
  </si>
  <si>
    <t>STE COMPTOIR NORD DE PIECES</t>
  </si>
  <si>
    <t>1R06136</t>
  </si>
  <si>
    <t>STE ARIJ PIECES AUTOS</t>
  </si>
  <si>
    <t>1R02233</t>
  </si>
  <si>
    <t>SOUFIANE MANNAI</t>
  </si>
  <si>
    <t>1R07047</t>
  </si>
  <si>
    <t>BOUAZIZ SLAH</t>
  </si>
  <si>
    <t>1R07041</t>
  </si>
  <si>
    <t>STE. COMMERCIALE DES PIECES</t>
  </si>
  <si>
    <t>1R05042</t>
  </si>
  <si>
    <t>BOURAOUI LAMTI</t>
  </si>
  <si>
    <t>1R12001</t>
  </si>
  <si>
    <t>ALI YAHYAOUI</t>
  </si>
  <si>
    <t>1R01161</t>
  </si>
  <si>
    <t>RAMEH JAMILA BEN SADOK</t>
  </si>
  <si>
    <t>1R01492</t>
  </si>
  <si>
    <t>SO.CO.PI</t>
  </si>
  <si>
    <t>1R02247</t>
  </si>
  <si>
    <t>ZNAIDI HASSINE</t>
  </si>
  <si>
    <t>1R02239</t>
  </si>
  <si>
    <t>Ste P I A A T.</t>
  </si>
  <si>
    <t>1R03076</t>
  </si>
  <si>
    <t>COMPTOIR METOUIEN AUTOMOBILE</t>
  </si>
  <si>
    <t>1R01445</t>
  </si>
  <si>
    <t>SOCIETE ULTRA SERVICE</t>
  </si>
  <si>
    <t>1R02185</t>
  </si>
  <si>
    <t>ROJDI BEN MOHAMED KRAOUII</t>
  </si>
  <si>
    <t>8R10040</t>
  </si>
  <si>
    <t>DABBOUSSI MUSTAPHA</t>
  </si>
  <si>
    <t>8R10047</t>
  </si>
  <si>
    <t>KOUKI FAOUZI</t>
  </si>
  <si>
    <t>8R09044</t>
  </si>
  <si>
    <t>MAKREM ZAMMALI</t>
  </si>
  <si>
    <t>8R09020</t>
  </si>
  <si>
    <t>FIDHA AMINE B FATHI B HEDI</t>
  </si>
  <si>
    <t>8R08037</t>
  </si>
  <si>
    <t>SALEM AGIL</t>
  </si>
  <si>
    <t>7R16041</t>
  </si>
  <si>
    <t>EZZEDDINE LETIFI</t>
  </si>
  <si>
    <t>7R16055</t>
  </si>
  <si>
    <t>ARBI BEN ALIU GHARBI</t>
  </si>
  <si>
    <t>7R17047</t>
  </si>
  <si>
    <t>MEJDI NAJET BENT IBRAHIM</t>
  </si>
  <si>
    <t>7R19070</t>
  </si>
  <si>
    <t>ABICHOU ABDELFATTAH</t>
  </si>
  <si>
    <t>6R23098</t>
  </si>
  <si>
    <t>PIECES AUTOS MED AZZOUZ</t>
  </si>
  <si>
    <t>4R14062</t>
  </si>
  <si>
    <t>ALI MAHJOUBI</t>
  </si>
  <si>
    <t>3R18289</t>
  </si>
  <si>
    <t>STE SOMETRAP</t>
  </si>
  <si>
    <t>3S18067</t>
  </si>
  <si>
    <t>SOZEM</t>
  </si>
  <si>
    <t>3R18354</t>
  </si>
  <si>
    <t>STE SERVICES AUTOS SUD</t>
  </si>
  <si>
    <t>3R18316</t>
  </si>
  <si>
    <t>BASSALAH LOTFI</t>
  </si>
  <si>
    <t>1R06132</t>
  </si>
  <si>
    <t>TRABELSI JAMEL</t>
  </si>
  <si>
    <t>1R01010</t>
  </si>
  <si>
    <t>NEJI EL JAZI</t>
  </si>
  <si>
    <t>1R05159</t>
  </si>
  <si>
    <t>STE SUD MOTORS SRVIVES AUTO</t>
  </si>
  <si>
    <t>1R02245</t>
  </si>
  <si>
    <t>STE DISTRIBUTION PIECES AUTO</t>
  </si>
  <si>
    <t>1R01520</t>
  </si>
  <si>
    <t>MONDHER MEFTAH</t>
  </si>
  <si>
    <t>1R01470</t>
  </si>
  <si>
    <t>SOCIETE HNIA</t>
  </si>
  <si>
    <t>1R03131</t>
  </si>
  <si>
    <t>MOHAMED HEDI TALBI</t>
  </si>
  <si>
    <t>1R02236</t>
  </si>
  <si>
    <t>BEJI CHEDLY</t>
  </si>
  <si>
    <t>1R01217</t>
  </si>
  <si>
    <t>STE ELECTRIQUE SERVICE AUTO</t>
  </si>
  <si>
    <t>1R06145</t>
  </si>
  <si>
    <t>HASSINE BEN MESSAOUD-AGIL</t>
  </si>
  <si>
    <t>1R07015</t>
  </si>
  <si>
    <t>TAHER KABOUS ROYAL AUTO</t>
  </si>
  <si>
    <t>1R05194</t>
  </si>
  <si>
    <t>STE SLIM&amp; MONCEF PICES AUTO</t>
  </si>
  <si>
    <t>1R05197</t>
  </si>
  <si>
    <t>KNIOUA NOUREDDINE B MOHAMOUD</t>
  </si>
  <si>
    <t>1R05184</t>
  </si>
  <si>
    <t>JALELEDDINE B SALEM ZERELLI</t>
  </si>
  <si>
    <t>1R05034</t>
  </si>
  <si>
    <t>STE SO CO PA</t>
  </si>
  <si>
    <t>1R02224</t>
  </si>
  <si>
    <t>SOCIETE AUTOS PIECES</t>
  </si>
  <si>
    <t>1R06038</t>
  </si>
  <si>
    <t>HAMZA AUTO</t>
  </si>
  <si>
    <t>1R02209</t>
  </si>
  <si>
    <t>STE MANEL AUTO-SOMA-</t>
  </si>
  <si>
    <t>1r01389</t>
  </si>
  <si>
    <t>STE BEN AMOR AUTO</t>
  </si>
  <si>
    <t>1R02248</t>
  </si>
  <si>
    <t>ABDELKADER MOEZ BEN LAMINE</t>
  </si>
  <si>
    <t>1R02232</t>
  </si>
  <si>
    <t>CHIBANI BEN SALEM TAYEB</t>
  </si>
  <si>
    <t>1R02211</t>
  </si>
  <si>
    <t>AYMEN BEN HAMMADI BENAMOR</t>
  </si>
  <si>
    <t>1R05173</t>
  </si>
  <si>
    <t>FAOUZI MECHRGUI</t>
  </si>
  <si>
    <t>1R06141</t>
  </si>
  <si>
    <t>SAMIR BEN SLIMEN AOUADI</t>
  </si>
  <si>
    <t>8R09060</t>
  </si>
  <si>
    <t>HACHICHA THAMEUR</t>
  </si>
  <si>
    <t>3R18053</t>
  </si>
  <si>
    <t>AUTO ZARGA</t>
  </si>
  <si>
    <t>1R02205</t>
  </si>
  <si>
    <t>STE GAMA AUTO</t>
  </si>
  <si>
    <t>1R02250</t>
  </si>
  <si>
    <t>NAJET BENT SALAH ZAMELI</t>
  </si>
  <si>
    <t>1R06125</t>
  </si>
  <si>
    <t>AMEL ZGUIDENE EP SADFI</t>
  </si>
  <si>
    <t>1R02150</t>
  </si>
  <si>
    <t>YAHYAOUI ABDELJELIL</t>
  </si>
  <si>
    <t>1R04130</t>
  </si>
  <si>
    <t>YACOUBI BEN MOULDI EL ABED</t>
  </si>
  <si>
    <t>7R19018</t>
  </si>
  <si>
    <t>SOCIETE GENERAL DE PIECES</t>
  </si>
  <si>
    <t>3R18321</t>
  </si>
  <si>
    <t>ANIS BEN KHALIPHA RHAIEM</t>
  </si>
  <si>
    <t>3R15038</t>
  </si>
  <si>
    <t>HAMDI JAMEL</t>
  </si>
  <si>
    <t>1R05036</t>
  </si>
  <si>
    <t>RIGHT CARS</t>
  </si>
  <si>
    <t>1R02244</t>
  </si>
  <si>
    <t>MOUNA BEN AMMAR</t>
  </si>
  <si>
    <t>1R03116</t>
  </si>
  <si>
    <t>SOFIENE B RHOUMA "CAP AUTO"</t>
  </si>
  <si>
    <t>1R05199</t>
  </si>
  <si>
    <t>MAKNI HANEN</t>
  </si>
  <si>
    <t>3R18373</t>
  </si>
  <si>
    <t>NOURA BT ABIDIB BRAHIM</t>
  </si>
  <si>
    <t>8R08032</t>
  </si>
  <si>
    <t>STE SUD EQUIPEMENT MARITINE</t>
  </si>
  <si>
    <t>6R23150</t>
  </si>
  <si>
    <t>STE MAHDIA AUTO</t>
  </si>
  <si>
    <t>4R15037</t>
  </si>
  <si>
    <t>COMPTOIR ABDENNADHER</t>
  </si>
  <si>
    <t>3R18047</t>
  </si>
  <si>
    <t>GUIZANI FETHI</t>
  </si>
  <si>
    <t>1R01050</t>
  </si>
  <si>
    <t>HELA FERJANI NEE AJMI</t>
  </si>
  <si>
    <t>1R06149</t>
  </si>
  <si>
    <t>HAIKEL BEN MOULDI ESSAHLI</t>
  </si>
  <si>
    <t>1R05196</t>
  </si>
  <si>
    <t>STE L'HORIZON DE PIECES DE</t>
  </si>
  <si>
    <t>1R05171</t>
  </si>
  <si>
    <t>SOCIETE DRIDI AUTO (SDA)</t>
  </si>
  <si>
    <t>1R02174</t>
  </si>
  <si>
    <t>SO.TU.PA</t>
  </si>
  <si>
    <t>1R01504</t>
  </si>
  <si>
    <t>HAFSIA TANNOUCH- MOBIL</t>
  </si>
  <si>
    <t>7R20002</t>
  </si>
  <si>
    <t>SMPA MASMOUDI PIECES AUTOS</t>
  </si>
  <si>
    <t>1R02238</t>
  </si>
  <si>
    <t>SALIM AUTOS</t>
  </si>
  <si>
    <t>1R01495</t>
  </si>
  <si>
    <t>LOTFI B BELGACEM BOUROUISSIA</t>
  </si>
  <si>
    <t>8R09054</t>
  </si>
  <si>
    <t>SAHAR BT HABIB HAJ MAHMOUD</t>
  </si>
  <si>
    <t>4R15042</t>
  </si>
  <si>
    <t>NEGGAZ MONGI</t>
  </si>
  <si>
    <t>4R13090</t>
  </si>
  <si>
    <t>BELEL HABIB</t>
  </si>
  <si>
    <t>3R18120</t>
  </si>
  <si>
    <t>STE CDTPR</t>
  </si>
  <si>
    <t>3r18234</t>
  </si>
  <si>
    <t>BT SERVICES SURAL</t>
  </si>
  <si>
    <t>1R06146</t>
  </si>
  <si>
    <t>STE SAAIDI PIECES  RECHANGE</t>
  </si>
  <si>
    <t>1R05175</t>
  </si>
  <si>
    <t>STE CHENIB DE PIECES AUTOS</t>
  </si>
  <si>
    <t>1R02226</t>
  </si>
  <si>
    <t>TORJMEN TAHER</t>
  </si>
  <si>
    <t>1R04132</t>
  </si>
  <si>
    <t>BAAZAOUI SALAH</t>
  </si>
  <si>
    <t>3R14079</t>
  </si>
  <si>
    <t>BOUMAIZA MOHAMED KHALIL</t>
  </si>
  <si>
    <t>1R01530</t>
  </si>
  <si>
    <t>HAJJAJI NASREDDINE</t>
  </si>
  <si>
    <t>8R10044</t>
  </si>
  <si>
    <t>BOUCHADDAKH KHALED</t>
  </si>
  <si>
    <t>6R23153</t>
  </si>
  <si>
    <t>RACHED BEN BRAHIM MAMMACHA</t>
  </si>
  <si>
    <t>7R20003</t>
  </si>
  <si>
    <t>MOURAD BEN GACEM NALOUTI</t>
  </si>
  <si>
    <t>6R23118</t>
  </si>
  <si>
    <t>MOUHAMED GDEMME</t>
  </si>
  <si>
    <t>6R21074</t>
  </si>
  <si>
    <t>NEJIB GADHOUM</t>
  </si>
  <si>
    <t>4R12181</t>
  </si>
  <si>
    <t>SOCIETE DARDOUR ET FILS</t>
  </si>
  <si>
    <t>4R12228</t>
  </si>
  <si>
    <t>STE A Z SERVICE AUTO</t>
  </si>
  <si>
    <t>3R18369</t>
  </si>
  <si>
    <t>MOHIEDDINE ABDELKAFI</t>
  </si>
  <si>
    <t>3R18333</t>
  </si>
  <si>
    <t>STE M&amp;M EQUIPEMENTS DE PECHE</t>
  </si>
  <si>
    <t>3R15037</t>
  </si>
  <si>
    <t>SAMI BEN EZZEDINE B ABDALLAH</t>
  </si>
  <si>
    <t>1R05187</t>
  </si>
  <si>
    <t>SOCIETE  ECHIKH DE PIECES</t>
  </si>
  <si>
    <t>1R06122</t>
  </si>
  <si>
    <t>IMED BEN ZEKRI</t>
  </si>
  <si>
    <t>1R01456</t>
  </si>
  <si>
    <t>NAJET BEN MOHAMED BEN HRIZ</t>
  </si>
  <si>
    <t>1R01502</t>
  </si>
  <si>
    <t>EQUIP AUTO TAHER MESTIRI</t>
  </si>
  <si>
    <t>4R12231</t>
  </si>
  <si>
    <t>SOUAD BENT HEDI KALAI</t>
  </si>
  <si>
    <t>8R11072</t>
  </si>
  <si>
    <t>ELECTRIC AUTO JEMMAL</t>
  </si>
  <si>
    <t>4R13098</t>
  </si>
  <si>
    <t>LIMEME FATHI BEN KHLIFA</t>
  </si>
  <si>
    <t>4R12214</t>
  </si>
  <si>
    <t>ETABLISS. MOURAD BEN NASR</t>
  </si>
  <si>
    <t>1R02191</t>
  </si>
  <si>
    <t>STE ARFA AUTO PLUS</t>
  </si>
  <si>
    <t>1R02231</t>
  </si>
  <si>
    <t>CLIENT PASSAGER ASJ</t>
  </si>
  <si>
    <t>1X01000</t>
  </si>
  <si>
    <t>STE SLIM VENTE PIECES AUTOS</t>
  </si>
  <si>
    <t>3R18380</t>
  </si>
  <si>
    <t>SIRAJ BEN ZINA</t>
  </si>
  <si>
    <t>3R18072</t>
  </si>
  <si>
    <t>SOCIETE WORLD PARTS</t>
  </si>
  <si>
    <t>4R13115</t>
  </si>
  <si>
    <t>BELGACEM BEN SMIDA</t>
  </si>
  <si>
    <t>7R22003</t>
  </si>
  <si>
    <t>BELGACEM BEN ALI YOUSFI</t>
  </si>
  <si>
    <t>7R17022</t>
  </si>
  <si>
    <t>HAKIM BEN SADOK KHEMIS</t>
  </si>
  <si>
    <t>4R12227</t>
  </si>
  <si>
    <t>KARAOULI PIECES DE RECHANGES</t>
  </si>
  <si>
    <t>1R04128</t>
  </si>
  <si>
    <t>STE MEDHIOUB PIECES AUTOS</t>
  </si>
  <si>
    <t>1R03124</t>
  </si>
  <si>
    <t>ALI BEN BRAHIM HAMMAMI</t>
  </si>
  <si>
    <t>1R09019</t>
  </si>
  <si>
    <t>STE MDIALE PCE AUTOMOBILES</t>
  </si>
  <si>
    <t>1R05195</t>
  </si>
  <si>
    <t>GHRIBI ABDELMOUTALAB B.AMMAR</t>
  </si>
  <si>
    <t>6R23152</t>
  </si>
  <si>
    <t>FATHI NAJJAR</t>
  </si>
  <si>
    <t>1R05071</t>
  </si>
  <si>
    <t>ADEL BEN ALI BICHIOU</t>
  </si>
  <si>
    <t>1R05059</t>
  </si>
  <si>
    <t>STE DREAM CAR</t>
  </si>
  <si>
    <t>3R18381</t>
  </si>
  <si>
    <t>CHLIHI NADER BEN MED LAMINE</t>
  </si>
  <si>
    <t>8R11087</t>
  </si>
  <si>
    <t>STE GHAMMOUR ENAKHIL</t>
  </si>
  <si>
    <t>8R11061</t>
  </si>
  <si>
    <t>RIDHA BEN ALI MENSI</t>
  </si>
  <si>
    <t>8R08026</t>
  </si>
  <si>
    <t>STE GENERALE AUTO DU SUD</t>
  </si>
  <si>
    <t>7R19061</t>
  </si>
  <si>
    <t>SOCIETE CHAIBI DE CARBURANT</t>
  </si>
  <si>
    <t>6R21155</t>
  </si>
  <si>
    <t>FAOUZI BEN ALI AKROUT</t>
  </si>
  <si>
    <t>6R21136</t>
  </si>
  <si>
    <t>COMPTOIR DOUICK DE PIECES</t>
  </si>
  <si>
    <t>4R12212</t>
  </si>
  <si>
    <t>STE ELECTRICIA AUTO</t>
  </si>
  <si>
    <t>4R12236</t>
  </si>
  <si>
    <t>HAMDA MALEK BEN JILANI</t>
  </si>
  <si>
    <t>4R14050</t>
  </si>
  <si>
    <t>STE BASMA AUTO DE COMMERCE</t>
  </si>
  <si>
    <t>4R14064</t>
  </si>
  <si>
    <t>PIECES AUTOS BEN ALAYA MED</t>
  </si>
  <si>
    <t>4R14007</t>
  </si>
  <si>
    <t>STE DES PIECES DE RECHANGE</t>
  </si>
  <si>
    <t>3R18384</t>
  </si>
  <si>
    <t>ISMAIL TOUNSI</t>
  </si>
  <si>
    <t>3R18104</t>
  </si>
  <si>
    <t>S. BADREDDINE CHERIF &amp; CIES</t>
  </si>
  <si>
    <t>3R18097</t>
  </si>
  <si>
    <t>MONGI BEN BRAHIM</t>
  </si>
  <si>
    <t>1R05040</t>
  </si>
  <si>
    <t>CHEDLY AOUINI</t>
  </si>
  <si>
    <t>1R02141</t>
  </si>
  <si>
    <t>OUN ALLAH SALAHEDDINE</t>
  </si>
  <si>
    <t>1R01146</t>
  </si>
  <si>
    <t>JEMILLI AUTO</t>
  </si>
  <si>
    <t>1R03144</t>
  </si>
  <si>
    <t>LES EQUIPEMENTS MARITIMES DE</t>
  </si>
  <si>
    <t>1R02194</t>
  </si>
  <si>
    <t>NOUREDDINE CHENIB</t>
  </si>
  <si>
    <t>1R02173</t>
  </si>
  <si>
    <t>STE PIECES AUTOS JAPONAISES</t>
  </si>
  <si>
    <t>3R18336</t>
  </si>
  <si>
    <t>GROUP.DE PIECES DE RECHANGE</t>
  </si>
  <si>
    <t>1R05193</t>
  </si>
  <si>
    <t>STE DITRI-FILTRE</t>
  </si>
  <si>
    <t>4R12252</t>
  </si>
  <si>
    <t xml:space="preserve"> </t>
  </si>
  <si>
    <t>EUR</t>
  </si>
  <si>
    <t>SOVEMA</t>
  </si>
  <si>
    <t>REGLEMENT</t>
  </si>
  <si>
    <t>CPTE PAIEMENT</t>
  </si>
  <si>
    <t>ECHEANCE</t>
  </si>
  <si>
    <t>DATE FACTURE</t>
  </si>
  <si>
    <t>MOD REG</t>
  </si>
  <si>
    <t>MONT DT</t>
  </si>
  <si>
    <t>MONT DEV.</t>
  </si>
  <si>
    <t>MONNAIE</t>
  </si>
  <si>
    <t>FOURNISSEUR</t>
  </si>
  <si>
    <t>SNA</t>
  </si>
  <si>
    <t>ACCUMA 72</t>
  </si>
  <si>
    <t>STA</t>
  </si>
  <si>
    <t>TAUX GBP/TND</t>
  </si>
  <si>
    <t>TAUX USD/TND</t>
  </si>
  <si>
    <t>TAUX EURO/TND</t>
  </si>
  <si>
    <t>TOTAL 2015</t>
  </si>
  <si>
    <t>Total 12/2015</t>
  </si>
  <si>
    <t>STB 1000MD</t>
  </si>
  <si>
    <t>BTK300MD</t>
  </si>
  <si>
    <t>STB 200MD</t>
  </si>
  <si>
    <t>STB 800MD</t>
  </si>
  <si>
    <t>STUSIDE 800MD</t>
  </si>
  <si>
    <t>BTK 1488MD</t>
  </si>
  <si>
    <t>STB 2418MD</t>
  </si>
  <si>
    <t>INT</t>
  </si>
  <si>
    <t>PP</t>
  </si>
  <si>
    <t>Total</t>
  </si>
  <si>
    <t>Intérêt</t>
  </si>
  <si>
    <t>Principal</t>
  </si>
  <si>
    <t>Échéance</t>
  </si>
  <si>
    <t>Crédit</t>
  </si>
  <si>
    <t>SNA-NOUR</t>
  </si>
  <si>
    <t>TOTAL 2014</t>
  </si>
  <si>
    <t>STB 87MD</t>
  </si>
  <si>
    <t>STA-NOUR</t>
  </si>
  <si>
    <t>FN150072</t>
  </si>
  <si>
    <t>MED ENERGY</t>
  </si>
  <si>
    <t>ERRAFIK</t>
  </si>
  <si>
    <t>FN150070</t>
  </si>
  <si>
    <t>USD</t>
  </si>
  <si>
    <t>MARIBAT</t>
  </si>
  <si>
    <t>FN150068</t>
  </si>
  <si>
    <t>EL HARAMAINE</t>
  </si>
  <si>
    <t>FN150066</t>
  </si>
  <si>
    <t>FN150058</t>
  </si>
  <si>
    <t xml:space="preserve">Date </t>
  </si>
  <si>
    <t>Montant</t>
  </si>
  <si>
    <t>DATE MEP</t>
  </si>
  <si>
    <t>TND</t>
  </si>
  <si>
    <t>MONTANT</t>
  </si>
  <si>
    <t>DEV</t>
  </si>
  <si>
    <t>Date</t>
  </si>
  <si>
    <t>Numéro</t>
  </si>
  <si>
    <t>DIFFERENCE</t>
  </si>
  <si>
    <t>MCNE</t>
  </si>
  <si>
    <t>Facture</t>
  </si>
  <si>
    <t>CLIENT</t>
  </si>
  <si>
    <t>Remboursement reçu le 22/01/2014</t>
  </si>
  <si>
    <t>Avance reçu le 25/02/2013</t>
  </si>
  <si>
    <t>TOTAL</t>
  </si>
  <si>
    <t>reste a payer</t>
  </si>
  <si>
    <t>solde Hazem</t>
  </si>
  <si>
    <t>total 09/2015</t>
  </si>
  <si>
    <t>PAIEMENT</t>
  </si>
  <si>
    <t>FACTURE</t>
  </si>
  <si>
    <t>P U ht</t>
  </si>
  <si>
    <t>QUANTITE</t>
  </si>
  <si>
    <t>N° BL</t>
  </si>
  <si>
    <t>DATE</t>
  </si>
  <si>
    <t>total 12/2014</t>
  </si>
  <si>
    <t>OK</t>
  </si>
  <si>
    <t>total 11/2014</t>
  </si>
  <si>
    <t>total 08/2015</t>
  </si>
  <si>
    <t>total 10/2014</t>
  </si>
  <si>
    <t>total 09/2014</t>
  </si>
  <si>
    <t>total 06/2015</t>
  </si>
  <si>
    <t>total 08/2014</t>
  </si>
  <si>
    <t>total 07/2014</t>
  </si>
  <si>
    <t>total 05/2015</t>
  </si>
  <si>
    <t>total 06/2014</t>
  </si>
  <si>
    <t>total 05/2014</t>
  </si>
  <si>
    <t>total 04/2015</t>
  </si>
  <si>
    <t>total 03/2014</t>
  </si>
  <si>
    <t>total 02/2014</t>
  </si>
  <si>
    <t>total 03/2015</t>
  </si>
  <si>
    <t>Etain KAIS 96%</t>
  </si>
  <si>
    <t>total 01/2014</t>
  </si>
  <si>
    <t>total 02/2015</t>
  </si>
  <si>
    <t>total 01/2015</t>
  </si>
  <si>
    <t>Reliquat 2013</t>
  </si>
  <si>
    <t>SND</t>
  </si>
  <si>
    <t>STB</t>
  </si>
  <si>
    <t>Maribat</t>
  </si>
  <si>
    <t>El Haramaine</t>
  </si>
  <si>
    <t>STUSID</t>
  </si>
  <si>
    <t>EURO</t>
  </si>
  <si>
    <t>DOLLARS</t>
  </si>
  <si>
    <t>STB TH</t>
  </si>
  <si>
    <t>STB MEG</t>
  </si>
  <si>
    <t xml:space="preserve">EN COURS </t>
  </si>
  <si>
    <t>Cheque</t>
  </si>
  <si>
    <t>Escompte</t>
  </si>
  <si>
    <t>Virement</t>
  </si>
  <si>
    <t>BTK</t>
  </si>
  <si>
    <t>Previsions</t>
  </si>
  <si>
    <t>Depenses</t>
  </si>
  <si>
    <t>Recette des Finances</t>
  </si>
  <si>
    <t>Salaires</t>
  </si>
  <si>
    <t>Steg</t>
  </si>
  <si>
    <t>Hazem</t>
  </si>
  <si>
    <t>STCM</t>
  </si>
  <si>
    <t>Accuma</t>
  </si>
  <si>
    <t>Akumsan</t>
  </si>
  <si>
    <t>Sovema</t>
  </si>
  <si>
    <t>Import</t>
  </si>
  <si>
    <t>Glatfelter</t>
  </si>
  <si>
    <t>Orion</t>
  </si>
  <si>
    <t>Local</t>
  </si>
  <si>
    <t>CMT</t>
  </si>
  <si>
    <t>Engagement Banque</t>
  </si>
  <si>
    <t>Agic</t>
  </si>
  <si>
    <t>Autorisation</t>
  </si>
  <si>
    <t>Fournisseurs</t>
  </si>
  <si>
    <t>Solde au 31/12/2015</t>
  </si>
  <si>
    <t>Wirtz</t>
  </si>
  <si>
    <t>STB 2</t>
  </si>
  <si>
    <t>Attijari</t>
  </si>
  <si>
    <t>Stusid</t>
  </si>
  <si>
    <t>Credit de gestion</t>
  </si>
  <si>
    <t>Metalliance</t>
  </si>
  <si>
    <t>Traite STA</t>
  </si>
  <si>
    <t>Traite SNA</t>
  </si>
  <si>
    <t>TBS</t>
  </si>
  <si>
    <t>Goonvean</t>
  </si>
  <si>
    <t>Espece</t>
  </si>
  <si>
    <t>Med Energy</t>
  </si>
  <si>
    <t>Errafik</t>
  </si>
  <si>
    <t>Vente Devise</t>
  </si>
  <si>
    <t>Leasing</t>
  </si>
  <si>
    <t>FINANCEMENTS DE DEVISE IMPORT</t>
  </si>
  <si>
    <t>AU 23/11/2015</t>
  </si>
  <si>
    <t>Fournisseur</t>
  </si>
  <si>
    <t>Montant en devise</t>
  </si>
  <si>
    <t>Cours</t>
  </si>
  <si>
    <t>Montant en dinars</t>
  </si>
  <si>
    <t>Date MEP</t>
  </si>
  <si>
    <t>Observation</t>
  </si>
  <si>
    <t>STA NOUR</t>
  </si>
  <si>
    <t>SNA NOUR</t>
  </si>
  <si>
    <t>2 eme Prorogation</t>
  </si>
  <si>
    <t>mise en place</t>
  </si>
  <si>
    <t>7R16068</t>
  </si>
  <si>
    <t>STE GLE DE TOUT EQUIPEMENT</t>
  </si>
  <si>
    <t>3R18069</t>
  </si>
  <si>
    <t>SELLAMI MED TAOUFIK- TOTAL</t>
  </si>
  <si>
    <t>3R18275</t>
  </si>
  <si>
    <t>BOUCHLAMA AMMAR</t>
  </si>
  <si>
    <t>4R13031</t>
  </si>
  <si>
    <t>ETS.AMOR SGHAIER ET CIE</t>
  </si>
  <si>
    <t>1R03140</t>
  </si>
  <si>
    <t>STE AYOUB DE PIECES AUTOS</t>
  </si>
  <si>
    <t>1R01518</t>
  </si>
  <si>
    <t>MANAI WAHID</t>
  </si>
  <si>
    <t>8R08034</t>
  </si>
  <si>
    <t>COMPTOIR GENERAL.DISTR "CGD"</t>
  </si>
  <si>
    <t>1R01292</t>
  </si>
  <si>
    <t>AJIMI YASSINE  CYBER</t>
  </si>
  <si>
    <t>4R13131</t>
  </si>
  <si>
    <t>ABDESSALAM HABIB</t>
  </si>
  <si>
    <t>4R14055</t>
  </si>
  <si>
    <t>KHELIFI POUR FILTRES &amp; HUILE</t>
  </si>
  <si>
    <t>3R15039</t>
  </si>
  <si>
    <t>AMINE BEN FREDJ MAHMOUD</t>
  </si>
  <si>
    <t>3R18349</t>
  </si>
  <si>
    <t>STE SPAMM</t>
  </si>
  <si>
    <t>1R07049</t>
  </si>
  <si>
    <t>ACHREF BEN ELABED</t>
  </si>
  <si>
    <t>1R01537</t>
  </si>
  <si>
    <t>STE MEDAS</t>
  </si>
  <si>
    <t>6R21156</t>
  </si>
  <si>
    <t>STE BEN HMIDA POLY SERVICES</t>
  </si>
  <si>
    <t>8R08035</t>
  </si>
  <si>
    <t>AYMEN LAABIDI</t>
  </si>
  <si>
    <t>1R05192</t>
  </si>
  <si>
    <t>STE BATTERY CENTER</t>
  </si>
  <si>
    <t>3R18263</t>
  </si>
  <si>
    <t>LAJNEF SAMI BEN MOHAMED</t>
  </si>
  <si>
    <t>1R02190</t>
  </si>
  <si>
    <t>S O G E F</t>
  </si>
  <si>
    <t>TOTAL 90 JOURS</t>
  </si>
  <si>
    <t>total 11/2015</t>
  </si>
  <si>
    <t>Paiement HAZEM</t>
  </si>
  <si>
    <t>EX150014</t>
  </si>
  <si>
    <t>FN110017</t>
  </si>
  <si>
    <t>FN150069</t>
  </si>
  <si>
    <t>Metaconcept</t>
  </si>
  <si>
    <t>EX150015</t>
  </si>
  <si>
    <t>FN150075</t>
  </si>
  <si>
    <t>FN150077</t>
  </si>
  <si>
    <t>FN150078</t>
  </si>
  <si>
    <t>Augmentation Capital</t>
  </si>
  <si>
    <t>total 10/2015</t>
  </si>
  <si>
    <t>total 12/2015</t>
  </si>
  <si>
    <t>Etain KAIS 76%</t>
  </si>
  <si>
    <t>Aluminium</t>
  </si>
  <si>
    <t>1R05166</t>
  </si>
  <si>
    <t>STE GHAMMAM ET CIE</t>
  </si>
  <si>
    <t>3R18160</t>
  </si>
  <si>
    <t>S M E A</t>
  </si>
  <si>
    <t>1R03147</t>
  </si>
  <si>
    <t>STE AYARI AUTOS &amp; CIE</t>
  </si>
  <si>
    <t>1R04129</t>
  </si>
  <si>
    <t>GOLDS FILTRES</t>
  </si>
  <si>
    <t>1R04134</t>
  </si>
  <si>
    <t>DHAHRI RIDHA BEN MANOUBI</t>
  </si>
  <si>
    <t>1R07013</t>
  </si>
  <si>
    <t>STE.GUEDRI MOHSEN ET FRERES</t>
  </si>
  <si>
    <t>1R05203</t>
  </si>
  <si>
    <t>STE HADDAD PIECES.RECHANGES</t>
  </si>
  <si>
    <t>1R12003</t>
  </si>
  <si>
    <t>STE ZORGATI VEHICULES</t>
  </si>
  <si>
    <t>EX150016</t>
  </si>
  <si>
    <t xml:space="preserve">DARAMIC </t>
  </si>
  <si>
    <t>ACCUMA 74</t>
  </si>
  <si>
    <t>ACCUMA 83</t>
  </si>
  <si>
    <t>Paiement du mois : EUR</t>
  </si>
  <si>
    <t>Paiement du mois : GBP</t>
  </si>
  <si>
    <t>Paiement du mois : USD</t>
  </si>
  <si>
    <t>ACCUMA 79</t>
  </si>
  <si>
    <t>DARAMIC</t>
  </si>
  <si>
    <t>AKUMSAN</t>
  </si>
  <si>
    <t>Paiement du mois : $</t>
  </si>
  <si>
    <t>ACCUMA 85</t>
  </si>
  <si>
    <t>ACCUMA 86</t>
  </si>
  <si>
    <t>ACCUMA 87</t>
  </si>
  <si>
    <t>ACCUMA 88</t>
  </si>
  <si>
    <t>Chimbault</t>
  </si>
  <si>
    <t>1R06126</t>
  </si>
  <si>
    <t>NAILA BEN AHMED JEMAI</t>
  </si>
  <si>
    <t>1R05181</t>
  </si>
  <si>
    <t>MAJED BEN MED HAMMAMI</t>
  </si>
  <si>
    <t>1R01094</t>
  </si>
  <si>
    <t>AHMED BEL HEDI</t>
  </si>
  <si>
    <t>6R21038</t>
  </si>
  <si>
    <t>MOHAMED BEN MOHAMED KAYEL</t>
  </si>
  <si>
    <t>3R18353</t>
  </si>
  <si>
    <t>MOHAMMED BEN NOURI MSAKNI</t>
  </si>
  <si>
    <t>3R18348</t>
  </si>
  <si>
    <t>STE EUROPIECES</t>
  </si>
  <si>
    <t>6R23151</t>
  </si>
  <si>
    <t>STE M W AUTO'S</t>
  </si>
  <si>
    <t>1R03115</t>
  </si>
  <si>
    <t>ANIBA FAYCEL</t>
  </si>
  <si>
    <t>1R01480</t>
  </si>
  <si>
    <t>STE HADJ AUTO</t>
  </si>
  <si>
    <t>FN150083</t>
  </si>
  <si>
    <t>FN150084</t>
  </si>
  <si>
    <t>FN150085</t>
  </si>
  <si>
    <t>SOLDE 28/12/2015</t>
  </si>
  <si>
    <t>Compte</t>
  </si>
  <si>
    <t>Titulaire</t>
  </si>
  <si>
    <t>Arrêté au</t>
  </si>
  <si>
    <t>Devise</t>
  </si>
  <si>
    <t xml:space="preserve">FONDERIE EL HANAYA </t>
  </si>
  <si>
    <t xml:space="preserve">TND </t>
  </si>
  <si>
    <t xml:space="preserve">STE NOUR </t>
  </si>
  <si>
    <t xml:space="preserve">STE T.I.B TUNISIAN INTER BUSINES SARL </t>
  </si>
  <si>
    <t xml:space="preserve">STE TUNISIENNE D ACCUMULATEUR NOUR </t>
  </si>
  <si>
    <t xml:space="preserve">STE NOUR DISTRIBUT S.N.D </t>
  </si>
  <si>
    <t xml:space="preserve">STE TUNISIENNE DE L ACCUMULATEUR NOUR </t>
  </si>
  <si>
    <t xml:space="preserve">STE NLLE DES ACCUMUL BATTERIES NOUR </t>
  </si>
  <si>
    <t xml:space="preserve">IMMOBILIERE DE LA ZONE SARL </t>
  </si>
  <si>
    <t xml:space="preserve">INTERNATIONAL TUNISIAN NEGOCE.ITN </t>
  </si>
  <si>
    <t xml:space="preserve">STE NOUVELLE DES ACCUMILATEURS NOUR </t>
  </si>
  <si>
    <t xml:space="preserve">EUR </t>
  </si>
  <si>
    <t xml:space="preserve">INTERNATIONAL TUNISIAN NEGOCE I.T.N </t>
  </si>
  <si>
    <t xml:space="preserve">SOCIETE NOUR DISTRIBUTION </t>
  </si>
  <si>
    <t xml:space="preserve">DISTRIBUTION * SARL* STE NOUR </t>
  </si>
  <si>
    <t xml:space="preserve">SOCIETE NOUR DESTRIBTION </t>
  </si>
  <si>
    <t xml:space="preserve">SOCIETE NOUVELLE DES ACCUMULATEURS NOUR </t>
  </si>
  <si>
    <t xml:space="preserve">USD </t>
  </si>
  <si>
    <t xml:space="preserve">STA NOUR </t>
  </si>
  <si>
    <t xml:space="preserve">SOCIETE NOUVELLE ACCUMULATEUR NOUR </t>
  </si>
  <si>
    <t xml:space="preserve">ALPHA MEDIA </t>
  </si>
  <si>
    <t xml:space="preserve">STE TECH ET INGENIER IE DE PRECISI </t>
  </si>
  <si>
    <t xml:space="preserve">STE PHENICIA DEVELOPPEMENT-SICAR- </t>
  </si>
  <si>
    <t xml:space="preserve">STE ACOR </t>
  </si>
  <si>
    <t xml:space="preserve">STE DE PROTECTION ET DE SECURITE </t>
  </si>
  <si>
    <t>Euro</t>
  </si>
  <si>
    <t>$</t>
  </si>
  <si>
    <t>KAIS ETAIN</t>
  </si>
  <si>
    <t>ACCUMA 92</t>
  </si>
  <si>
    <t>AGIC</t>
  </si>
  <si>
    <t>ACCUMA 89</t>
  </si>
  <si>
    <t>ACCUMA 90</t>
  </si>
  <si>
    <t>ACCUMA 91</t>
  </si>
  <si>
    <t>8R11076</t>
  </si>
  <si>
    <t>SOUFIEN B MOHAMED ABROUGUI</t>
  </si>
  <si>
    <t>6R21144</t>
  </si>
  <si>
    <t>MOHAMED BEN SALAH BENHASSEN</t>
  </si>
  <si>
    <t>1R04098</t>
  </si>
  <si>
    <t>GARA NABIL BEN BECHIR</t>
  </si>
  <si>
    <t>8R10051</t>
  </si>
  <si>
    <t>AOUADI ABDELKARIM</t>
  </si>
  <si>
    <t>8R11078</t>
  </si>
  <si>
    <t>MED DHIA BEN BRAHIM CHEFAAI</t>
  </si>
  <si>
    <t>1R06137</t>
  </si>
  <si>
    <t>STE LE COMBATTANT</t>
  </si>
  <si>
    <t>1R01493</t>
  </si>
  <si>
    <t>HEDIA BENT YOUSSEF TOUJANI</t>
  </si>
  <si>
    <t>1R01532</t>
  </si>
  <si>
    <t>SAIDI ANIS</t>
  </si>
  <si>
    <t>TOTAL 02/2016</t>
  </si>
  <si>
    <t>TOTAL 03/2016</t>
  </si>
  <si>
    <t>TOTAL 04/2016</t>
  </si>
  <si>
    <t>TOTAL 05/2016</t>
  </si>
  <si>
    <t>TOTAL 06/2016</t>
  </si>
  <si>
    <t>TOTAL 07/2016</t>
  </si>
  <si>
    <t>4R12250</t>
  </si>
  <si>
    <t>STE COMPTOIR AUTO BOUSSLAMA</t>
  </si>
  <si>
    <t>ECHEANCIER 2016</t>
  </si>
  <si>
    <t>Total 06/2016</t>
  </si>
  <si>
    <t>Total 12/ 2016</t>
  </si>
  <si>
    <t>Total 01/2016</t>
  </si>
  <si>
    <t>Total 02/2016</t>
  </si>
  <si>
    <t>Total 03/2016</t>
  </si>
  <si>
    <t>Total 05/2016</t>
  </si>
  <si>
    <t>Total 07/2016</t>
  </si>
  <si>
    <t>Total 08/2016</t>
  </si>
  <si>
    <t>Total 09/2016</t>
  </si>
  <si>
    <t>Total 11/2016</t>
  </si>
  <si>
    <t>Total 12/2016</t>
  </si>
  <si>
    <t>TOTAL 2016</t>
  </si>
  <si>
    <t>LME 12/2015</t>
  </si>
  <si>
    <t>$ 12/2015</t>
  </si>
  <si>
    <t xml:space="preserve">PRIX </t>
  </si>
  <si>
    <t>total 01/2016</t>
  </si>
  <si>
    <t>Capa</t>
  </si>
  <si>
    <t>Nour</t>
  </si>
  <si>
    <t>ACCUMA 05</t>
  </si>
  <si>
    <t>ACCUMA 04</t>
  </si>
  <si>
    <t>ACCUMA 03</t>
  </si>
  <si>
    <t>ACCUMA 02</t>
  </si>
  <si>
    <t>SOVEMA 02</t>
  </si>
  <si>
    <t>SOVEMA 01</t>
  </si>
  <si>
    <t>ACCUMA 01</t>
  </si>
  <si>
    <t>S T A</t>
  </si>
  <si>
    <t>S N A</t>
  </si>
  <si>
    <t>total 02/2016</t>
  </si>
  <si>
    <t>Solde au 29/02/2016</t>
  </si>
  <si>
    <t>FN160001</t>
  </si>
  <si>
    <t>FN160002</t>
  </si>
  <si>
    <t>FN160003</t>
  </si>
  <si>
    <t>EX160001</t>
  </si>
  <si>
    <t>EX160002</t>
  </si>
  <si>
    <t>EX160003</t>
  </si>
  <si>
    <t>STOCK HAZEM A NOUR</t>
  </si>
  <si>
    <t>4R15027</t>
  </si>
  <si>
    <t>BEN KHALED MOHSEN</t>
  </si>
  <si>
    <t>1R02201</t>
  </si>
  <si>
    <t>AYMEN BEN EZZEDDINE DAOUDI</t>
  </si>
  <si>
    <t>1R02082</t>
  </si>
  <si>
    <t>M P R- ESSID LASSAAD</t>
  </si>
  <si>
    <t>1R01517</t>
  </si>
  <si>
    <t>NAIM BERRICH</t>
  </si>
  <si>
    <t>1R05087</t>
  </si>
  <si>
    <t>RIDHA BEN MOHAMED LARBI</t>
  </si>
  <si>
    <t>3R18386</t>
  </si>
  <si>
    <t>KAMMOUN OMAR</t>
  </si>
  <si>
    <t>1P01000</t>
  </si>
  <si>
    <t>PERSONNEL  NOUR</t>
  </si>
  <si>
    <t>4R12182</t>
  </si>
  <si>
    <t>S T A A S</t>
  </si>
  <si>
    <t>1R03118</t>
  </si>
  <si>
    <t>STE AUTO SERVICE PLUS</t>
  </si>
  <si>
    <t>3R18389</t>
  </si>
  <si>
    <t>STE RANEN.PIECES DE RECHANGE</t>
  </si>
  <si>
    <t>8R11075</t>
  </si>
  <si>
    <t>BHOURI HABIB BEN EDRIS</t>
  </si>
  <si>
    <t>7R22039</t>
  </si>
  <si>
    <t>STE AL BARAKA EQUIP.GENERALE</t>
  </si>
  <si>
    <t>4R13082</t>
  </si>
  <si>
    <t>SOCIETE LES AMIS</t>
  </si>
  <si>
    <t>4R14068</t>
  </si>
  <si>
    <t>KAMMOUN BILEL</t>
  </si>
  <si>
    <t>6R21145</t>
  </si>
  <si>
    <t>SOCIETE EL HOUIOUI</t>
  </si>
  <si>
    <t>4R12193</t>
  </si>
  <si>
    <t>L AUTO PIECE  HABIB HANDOUS</t>
  </si>
  <si>
    <t>TOTAL GENERAL</t>
  </si>
  <si>
    <t>Daramic</t>
  </si>
  <si>
    <t>FN160007</t>
  </si>
  <si>
    <t>FN160009</t>
  </si>
  <si>
    <t>SOLDE 15/02/2016</t>
  </si>
  <si>
    <t>4R14036</t>
  </si>
  <si>
    <t>GHEDHAMI PARTS</t>
  </si>
  <si>
    <t>4R12210</t>
  </si>
  <si>
    <t>KAIES EL KHECHINE</t>
  </si>
  <si>
    <t>1R01092</t>
  </si>
  <si>
    <t>SECOURS-AUTO</t>
  </si>
  <si>
    <t>1R05148</t>
  </si>
  <si>
    <t>STE COMP. GENERAL EQUIPEMENT</t>
  </si>
  <si>
    <t>1R05142</t>
  </si>
  <si>
    <t>STE PETRO-MED SARL</t>
  </si>
  <si>
    <t>3R18274</t>
  </si>
  <si>
    <t>STE HSOUNA FRIKHA ET FILS</t>
  </si>
  <si>
    <t>7R17046</t>
  </si>
  <si>
    <t>THAMEUR CHAGRAOUI</t>
  </si>
  <si>
    <t>1R01112</t>
  </si>
  <si>
    <t>AZOUNA MUSTAPHA</t>
  </si>
  <si>
    <t>7R16012</t>
  </si>
  <si>
    <t>HASSEN BEN BELGACEM  DABBABI</t>
  </si>
  <si>
    <t>3r15029</t>
  </si>
  <si>
    <t>STE HERITIERS MHAMED SOUGUA</t>
  </si>
  <si>
    <t>1R02083</t>
  </si>
  <si>
    <t>STE MATEUR QUINC [SOGEMAQ]</t>
  </si>
  <si>
    <t>4R12254</t>
  </si>
  <si>
    <t>STE STATION SERVICE.OILLIBYA</t>
  </si>
  <si>
    <t>1R06134</t>
  </si>
  <si>
    <t>CHAKROUN ZOUBAIER</t>
  </si>
  <si>
    <t>3R18039</t>
  </si>
  <si>
    <t>STE COGEP AUTO</t>
  </si>
  <si>
    <t>4R14065</t>
  </si>
  <si>
    <t>STE SMART-CAR</t>
  </si>
  <si>
    <t>1R02053</t>
  </si>
  <si>
    <t>CHENIB MOHAMED- ESSAYARA</t>
  </si>
  <si>
    <t>4R13116</t>
  </si>
  <si>
    <t>AHMED BEN ALI TEKAYA</t>
  </si>
  <si>
    <t>1R05200</t>
  </si>
  <si>
    <t>SOCIETE RECTIF</t>
  </si>
  <si>
    <t>1R05188</t>
  </si>
  <si>
    <t>STE HAMI AUTO</t>
  </si>
  <si>
    <t>1R03148</t>
  </si>
  <si>
    <t>SKHAIRIA OUANES</t>
  </si>
  <si>
    <t>STE ZORGATI VEHICULE</t>
  </si>
  <si>
    <t>4R12211</t>
  </si>
  <si>
    <t>KALLEL LASSAAD</t>
  </si>
  <si>
    <t>3R18111</t>
  </si>
  <si>
    <t>SFAX TECH. AUTO-CHARFEDINE</t>
  </si>
  <si>
    <t>3R18042</t>
  </si>
  <si>
    <t>ETS. AYADI ABDEL-ILAH</t>
  </si>
  <si>
    <t>3R18117</t>
  </si>
  <si>
    <t>SFAX VEHICULES INDUSTRIELS</t>
  </si>
  <si>
    <t>3R18108</t>
  </si>
  <si>
    <t>SOUSSI TAOUFIK</t>
  </si>
  <si>
    <t>1R06040</t>
  </si>
  <si>
    <t>STE UNIVERS TOUS CAMIONS</t>
  </si>
  <si>
    <t>1R06124</t>
  </si>
  <si>
    <t>ETABLISSEMENT DABOUSSI</t>
  </si>
  <si>
    <t>1R01481</t>
  </si>
  <si>
    <t>INDUST. MECANIQ. MAGHREBINES</t>
  </si>
  <si>
    <t>1S01132</t>
  </si>
  <si>
    <t>STE MEKINA</t>
  </si>
  <si>
    <t>3R18378</t>
  </si>
  <si>
    <t>STE FIAT AUTO PIECES [ FAP ]</t>
  </si>
  <si>
    <t>3R18352</t>
  </si>
  <si>
    <t>STE JAMEL AUTO</t>
  </si>
  <si>
    <t>1R01509</t>
  </si>
  <si>
    <t>BALTI TAREK</t>
  </si>
  <si>
    <t>1R01539</t>
  </si>
  <si>
    <t>CHERIF MOHAMED</t>
  </si>
  <si>
    <t>1R01511</t>
  </si>
  <si>
    <t>CHAMAKHI YOUSSEF</t>
  </si>
  <si>
    <t>1R01195</t>
  </si>
  <si>
    <t>CHAMAKHI BECHIR</t>
  </si>
  <si>
    <t>1R01129</t>
  </si>
  <si>
    <t>NADER BEN HEDI AKKARI</t>
  </si>
  <si>
    <t>1R02197</t>
  </si>
  <si>
    <t>SFAX PNEUS</t>
  </si>
  <si>
    <t>3R18359</t>
  </si>
  <si>
    <t>SOCIETE MAGHREBINE DES</t>
  </si>
  <si>
    <t>1T05004</t>
  </si>
  <si>
    <t>SOCIETE SOPI</t>
  </si>
  <si>
    <t>1R02196</t>
  </si>
  <si>
    <t>PEARTCH</t>
  </si>
  <si>
    <t>1R03069</t>
  </si>
  <si>
    <t>MEUBLATEX INDUSTRIES</t>
  </si>
  <si>
    <t>4G01002</t>
  </si>
  <si>
    <t>TEMANI SADOK</t>
  </si>
  <si>
    <t>1R05152</t>
  </si>
  <si>
    <t>B  S  B TOYOTA</t>
  </si>
  <si>
    <t>1S01009</t>
  </si>
  <si>
    <t>STE DE RECHANGE AGRICOLE</t>
  </si>
  <si>
    <t>1R01521</t>
  </si>
  <si>
    <t>SOCIETE ENNAJAH DES SERVICES</t>
  </si>
  <si>
    <t>1R02200</t>
  </si>
  <si>
    <t>ENTREPRISE BOUDOKHAN MOKHTAR</t>
  </si>
  <si>
    <t>1S03055</t>
  </si>
  <si>
    <t>TAREK BEN KHEMAIES LAHBIB</t>
  </si>
  <si>
    <t>1R06028</t>
  </si>
  <si>
    <t>BEN MAHMOUD CHOKRI</t>
  </si>
  <si>
    <t>1R01522</t>
  </si>
  <si>
    <t>CERI TUNISIE</t>
  </si>
  <si>
    <t>1S01243</t>
  </si>
  <si>
    <t>ACCUMA 08</t>
  </si>
  <si>
    <t>ACCUMA 06</t>
  </si>
  <si>
    <t>ACCUMA 07</t>
  </si>
  <si>
    <t>ACCUMA 10</t>
  </si>
  <si>
    <t>ACCUMA 14</t>
  </si>
  <si>
    <t>ACCUMA 13</t>
  </si>
  <si>
    <t>ACCUMA 11</t>
  </si>
  <si>
    <t>ACCUMA 12</t>
  </si>
  <si>
    <t>ACCUMA 09</t>
  </si>
  <si>
    <t>FN160008</t>
  </si>
  <si>
    <t>FN160010</t>
  </si>
  <si>
    <t>CAS</t>
  </si>
  <si>
    <t>FN160011</t>
  </si>
  <si>
    <t>EX160004</t>
  </si>
  <si>
    <t>FN160012</t>
  </si>
  <si>
    <t>EX160005</t>
  </si>
  <si>
    <t>SOVEMA 03</t>
  </si>
  <si>
    <t>SOVEMA 04</t>
  </si>
  <si>
    <t>ACCUMA 15</t>
  </si>
  <si>
    <t>ACCUMA 16</t>
  </si>
  <si>
    <t>ACCUMA 17</t>
  </si>
  <si>
    <t>SOVEMA 05</t>
  </si>
  <si>
    <t>ACCUMA 18</t>
  </si>
  <si>
    <t>ACCUMA 19</t>
  </si>
  <si>
    <t>ACCUMA 20</t>
  </si>
  <si>
    <t>ACCUMA 21</t>
  </si>
  <si>
    <t>LME 03/2016</t>
  </si>
  <si>
    <t>$ 03/2016</t>
  </si>
  <si>
    <t>STCM 04</t>
  </si>
  <si>
    <t>STCM 06</t>
  </si>
  <si>
    <t>METALLIANCE</t>
  </si>
  <si>
    <t>ACCUMA 23</t>
  </si>
  <si>
    <t>ACCUMA 24</t>
  </si>
  <si>
    <t>SOVEMA 06</t>
  </si>
  <si>
    <t>ACCUMA 22</t>
  </si>
  <si>
    <t>ACCUMA 25</t>
  </si>
  <si>
    <t>ACCUMA 26</t>
  </si>
</sst>
</file>

<file path=xl/styles.xml><?xml version="1.0" encoding="utf-8"?>
<styleSheet xmlns="http://schemas.openxmlformats.org/spreadsheetml/2006/main">
  <numFmts count="12">
    <numFmt numFmtId="43" formatCode="_-* #,##0.00\ _€_-;\-* #,##0.00\ _€_-;_-* &quot;-&quot;??\ _€_-;_-@_-"/>
    <numFmt numFmtId="164" formatCode="#,##0.000"/>
    <numFmt numFmtId="165" formatCode="#,##0.000\ _F"/>
    <numFmt numFmtId="166" formatCode="0.000"/>
    <numFmt numFmtId="167" formatCode="#,##0.00\ &quot;€&quot;"/>
    <numFmt numFmtId="168" formatCode="#,##0.000\ _€"/>
    <numFmt numFmtId="169" formatCode="[$$-409]#,##0.00"/>
    <numFmt numFmtId="170" formatCode="#,##0.0000"/>
    <numFmt numFmtId="171" formatCode="#,##0.00000"/>
    <numFmt numFmtId="172" formatCode="#,##0;[Red]#,##0"/>
    <numFmt numFmtId="173" formatCode="0.000%"/>
    <numFmt numFmtId="174" formatCode="0.0000000"/>
  </numFmts>
  <fonts count="5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indexed="20"/>
      <name val="Arial"/>
      <family val="2"/>
    </font>
    <font>
      <b/>
      <sz val="9"/>
      <color indexed="8"/>
      <name val="Arial"/>
      <family val="2"/>
    </font>
    <font>
      <sz val="9"/>
      <color indexed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i/>
      <sz val="11"/>
      <color theme="0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i/>
      <sz val="11"/>
      <color indexed="8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sz val="12"/>
      <color rgb="FFFFFFFF"/>
      <name val="Arial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9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CCCC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9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9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9" fontId="41" fillId="0" borderId="0" applyFont="0" applyFill="0" applyBorder="0" applyAlignment="0" applyProtection="0"/>
  </cellStyleXfs>
  <cellXfs count="735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164" fontId="0" fillId="0" borderId="4" xfId="0" applyNumberFormat="1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164" fontId="0" fillId="0" borderId="7" xfId="0" applyNumberFormat="1" applyBorder="1"/>
    <xf numFmtId="0" fontId="0" fillId="0" borderId="8" xfId="0" applyBorder="1"/>
    <xf numFmtId="0" fontId="0" fillId="0" borderId="9" xfId="0" applyBorder="1"/>
    <xf numFmtId="14" fontId="0" fillId="0" borderId="9" xfId="0" applyNumberFormat="1" applyBorder="1"/>
    <xf numFmtId="164" fontId="0" fillId="0" borderId="10" xfId="0" applyNumberFormat="1" applyBorder="1"/>
    <xf numFmtId="0" fontId="1" fillId="0" borderId="11" xfId="0" applyFont="1" applyBorder="1"/>
    <xf numFmtId="0" fontId="1" fillId="0" borderId="12" xfId="0" applyFont="1" applyBorder="1"/>
    <xf numFmtId="164" fontId="1" fillId="0" borderId="13" xfId="0" applyNumberFormat="1" applyFont="1" applyBorder="1"/>
    <xf numFmtId="0" fontId="4" fillId="0" borderId="0" xfId="0" applyFont="1"/>
    <xf numFmtId="0" fontId="4" fillId="0" borderId="0" xfId="0" applyFont="1" applyFill="1"/>
    <xf numFmtId="0" fontId="5" fillId="0" borderId="0" xfId="0" applyFont="1" applyBorder="1"/>
    <xf numFmtId="0" fontId="5" fillId="0" borderId="0" xfId="0" applyFont="1" applyFill="1" applyBorder="1"/>
    <xf numFmtId="0" fontId="5" fillId="0" borderId="0" xfId="0" applyFont="1" applyFill="1"/>
    <xf numFmtId="4" fontId="5" fillId="0" borderId="9" xfId="0" applyNumberFormat="1" applyFont="1" applyFill="1" applyBorder="1" applyAlignment="1">
      <alignment horizontal="center"/>
    </xf>
    <xf numFmtId="14" fontId="5" fillId="0" borderId="9" xfId="0" applyNumberFormat="1" applyFont="1" applyFill="1" applyBorder="1" applyAlignment="1">
      <alignment horizontal="right"/>
    </xf>
    <xf numFmtId="14" fontId="5" fillId="0" borderId="9" xfId="0" applyNumberFormat="1" applyFont="1" applyFill="1" applyBorder="1"/>
    <xf numFmtId="0" fontId="5" fillId="0" borderId="9" xfId="0" applyFont="1" applyFill="1" applyBorder="1"/>
    <xf numFmtId="4" fontId="5" fillId="0" borderId="9" xfId="0" applyNumberFormat="1" applyFont="1" applyFill="1" applyBorder="1"/>
    <xf numFmtId="0" fontId="5" fillId="0" borderId="8" xfId="0" applyFont="1" applyFill="1" applyBorder="1"/>
    <xf numFmtId="164" fontId="4" fillId="0" borderId="0" xfId="0" applyNumberFormat="1" applyFont="1"/>
    <xf numFmtId="4" fontId="5" fillId="0" borderId="0" xfId="0" applyNumberFormat="1" applyFont="1" applyFill="1" applyBorder="1"/>
    <xf numFmtId="4" fontId="8" fillId="0" borderId="0" xfId="0" applyNumberFormat="1" applyFont="1" applyFill="1" applyBorder="1" applyAlignment="1">
      <alignment horizontal="center"/>
    </xf>
    <xf numFmtId="14" fontId="5" fillId="0" borderId="0" xfId="0" applyNumberFormat="1" applyFont="1" applyBorder="1" applyAlignment="1">
      <alignment horizontal="right"/>
    </xf>
    <xf numFmtId="14" fontId="5" fillId="0" borderId="0" xfId="0" applyNumberFormat="1" applyFont="1" applyBorder="1"/>
    <xf numFmtId="0" fontId="5" fillId="0" borderId="10" xfId="0" applyFont="1" applyFill="1" applyBorder="1" applyAlignment="1">
      <alignment horizontal="left" vertical="center"/>
    </xf>
    <xf numFmtId="14" fontId="4" fillId="0" borderId="0" xfId="0" applyNumberFormat="1" applyFont="1"/>
    <xf numFmtId="14" fontId="4" fillId="0" borderId="0" xfId="0" applyNumberFormat="1" applyFont="1" applyFill="1"/>
    <xf numFmtId="0" fontId="11" fillId="0" borderId="0" xfId="0" applyFont="1" applyAlignment="1">
      <alignment horizontal="right"/>
    </xf>
    <xf numFmtId="14" fontId="11" fillId="0" borderId="0" xfId="0" applyNumberFormat="1" applyFont="1" applyAlignment="1">
      <alignment horizontal="right"/>
    </xf>
    <xf numFmtId="3" fontId="11" fillId="0" borderId="0" xfId="0" applyNumberFormat="1" applyFont="1" applyAlignment="1">
      <alignment horizontal="right"/>
    </xf>
    <xf numFmtId="3" fontId="12" fillId="4" borderId="13" xfId="0" applyNumberFormat="1" applyFont="1" applyFill="1" applyBorder="1" applyAlignment="1">
      <alignment horizontal="right"/>
    </xf>
    <xf numFmtId="3" fontId="12" fillId="4" borderId="12" xfId="0" applyNumberFormat="1" applyFont="1" applyFill="1" applyBorder="1" applyAlignment="1">
      <alignment horizontal="right"/>
    </xf>
    <xf numFmtId="3" fontId="14" fillId="5" borderId="13" xfId="0" applyNumberFormat="1" applyFont="1" applyFill="1" applyBorder="1" applyAlignment="1">
      <alignment horizontal="right"/>
    </xf>
    <xf numFmtId="3" fontId="15" fillId="5" borderId="12" xfId="0" applyNumberFormat="1" applyFont="1" applyFill="1" applyBorder="1" applyAlignment="1">
      <alignment horizontal="right"/>
    </xf>
    <xf numFmtId="14" fontId="11" fillId="0" borderId="10" xfId="0" applyNumberFormat="1" applyFont="1" applyFill="1" applyBorder="1" applyAlignment="1">
      <alignment horizontal="right"/>
    </xf>
    <xf numFmtId="14" fontId="11" fillId="0" borderId="9" xfId="0" applyNumberFormat="1" applyFont="1" applyFill="1" applyBorder="1" applyAlignment="1">
      <alignment horizontal="right"/>
    </xf>
    <xf numFmtId="3" fontId="14" fillId="0" borderId="9" xfId="0" applyNumberFormat="1" applyFont="1" applyFill="1" applyBorder="1" applyAlignment="1">
      <alignment horizontal="right"/>
    </xf>
    <xf numFmtId="3" fontId="17" fillId="0" borderId="9" xfId="0" applyNumberFormat="1" applyFont="1" applyFill="1" applyBorder="1" applyAlignment="1">
      <alignment horizontal="right"/>
    </xf>
    <xf numFmtId="14" fontId="17" fillId="0" borderId="9" xfId="0" applyNumberFormat="1" applyFont="1" applyFill="1" applyBorder="1" applyAlignment="1">
      <alignment horizontal="left"/>
    </xf>
    <xf numFmtId="0" fontId="17" fillId="0" borderId="8" xfId="0" applyFont="1" applyFill="1" applyBorder="1" applyAlignment="1">
      <alignment horizontal="left"/>
    </xf>
    <xf numFmtId="14" fontId="11" fillId="0" borderId="4" xfId="0" applyNumberFormat="1" applyFont="1" applyFill="1" applyBorder="1" applyAlignment="1">
      <alignment horizontal="right"/>
    </xf>
    <xf numFmtId="14" fontId="11" fillId="0" borderId="3" xfId="0" applyNumberFormat="1" applyFont="1" applyFill="1" applyBorder="1" applyAlignment="1">
      <alignment horizontal="right"/>
    </xf>
    <xf numFmtId="3" fontId="14" fillId="0" borderId="3" xfId="0" applyNumberFormat="1" applyFont="1" applyFill="1" applyBorder="1" applyAlignment="1">
      <alignment horizontal="right"/>
    </xf>
    <xf numFmtId="3" fontId="17" fillId="0" borderId="3" xfId="0" applyNumberFormat="1" applyFont="1" applyFill="1" applyBorder="1" applyAlignment="1">
      <alignment horizontal="right"/>
    </xf>
    <xf numFmtId="14" fontId="17" fillId="0" borderId="3" xfId="0" applyNumberFormat="1" applyFont="1" applyFill="1" applyBorder="1" applyAlignment="1">
      <alignment horizontal="left"/>
    </xf>
    <xf numFmtId="0" fontId="17" fillId="0" borderId="2" xfId="0" applyFont="1" applyFill="1" applyBorder="1" applyAlignment="1">
      <alignment horizontal="left"/>
    </xf>
    <xf numFmtId="0" fontId="11" fillId="0" borderId="0" xfId="0" applyFont="1" applyFill="1" applyAlignment="1">
      <alignment horizontal="right"/>
    </xf>
    <xf numFmtId="14" fontId="11" fillId="0" borderId="0" xfId="0" applyNumberFormat="1" applyFont="1" applyFill="1" applyAlignment="1">
      <alignment horizontal="right"/>
    </xf>
    <xf numFmtId="164" fontId="11" fillId="0" borderId="0" xfId="0" applyNumberFormat="1" applyFont="1" applyAlignment="1">
      <alignment horizontal="right"/>
    </xf>
    <xf numFmtId="3" fontId="15" fillId="5" borderId="13" xfId="0" applyNumberFormat="1" applyFont="1" applyFill="1" applyBorder="1" applyAlignment="1">
      <alignment horizontal="right"/>
    </xf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14" fontId="12" fillId="4" borderId="13" xfId="0" applyNumberFormat="1" applyFont="1" applyFill="1" applyBorder="1" applyAlignment="1">
      <alignment horizontal="center"/>
    </xf>
    <xf numFmtId="14" fontId="12" fillId="4" borderId="12" xfId="0" applyNumberFormat="1" applyFont="1" applyFill="1" applyBorder="1" applyAlignment="1">
      <alignment horizontal="center"/>
    </xf>
    <xf numFmtId="3" fontId="12" fillId="4" borderId="12" xfId="0" applyNumberFormat="1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3" fontId="17" fillId="0" borderId="0" xfId="0" applyNumberFormat="1" applyFont="1" applyAlignment="1">
      <alignment horizontal="right"/>
    </xf>
    <xf numFmtId="0" fontId="17" fillId="0" borderId="0" xfId="0" applyFont="1" applyAlignment="1">
      <alignment horizontal="right"/>
    </xf>
    <xf numFmtId="14" fontId="11" fillId="0" borderId="13" xfId="0" applyNumberFormat="1" applyFont="1" applyFill="1" applyBorder="1" applyAlignment="1">
      <alignment horizontal="right"/>
    </xf>
    <xf numFmtId="14" fontId="11" fillId="0" borderId="12" xfId="0" applyNumberFormat="1" applyFont="1" applyFill="1" applyBorder="1" applyAlignment="1">
      <alignment horizontal="right"/>
    </xf>
    <xf numFmtId="3" fontId="14" fillId="0" borderId="12" xfId="0" applyNumberFormat="1" applyFont="1" applyFill="1" applyBorder="1" applyAlignment="1">
      <alignment horizontal="right"/>
    </xf>
    <xf numFmtId="3" fontId="17" fillId="0" borderId="12" xfId="0" applyNumberFormat="1" applyFont="1" applyFill="1" applyBorder="1" applyAlignment="1">
      <alignment horizontal="right"/>
    </xf>
    <xf numFmtId="14" fontId="17" fillId="0" borderId="12" xfId="0" applyNumberFormat="1" applyFont="1" applyFill="1" applyBorder="1" applyAlignment="1">
      <alignment horizontal="left"/>
    </xf>
    <xf numFmtId="0" fontId="17" fillId="0" borderId="11" xfId="0" applyFont="1" applyFill="1" applyBorder="1" applyAlignment="1">
      <alignment horizontal="left"/>
    </xf>
    <xf numFmtId="14" fontId="12" fillId="4" borderId="17" xfId="0" applyNumberFormat="1" applyFont="1" applyFill="1" applyBorder="1" applyAlignment="1">
      <alignment horizontal="center"/>
    </xf>
    <xf numFmtId="14" fontId="12" fillId="4" borderId="19" xfId="0" applyNumberFormat="1" applyFont="1" applyFill="1" applyBorder="1" applyAlignment="1">
      <alignment horizontal="center"/>
    </xf>
    <xf numFmtId="3" fontId="12" fillId="4" borderId="17" xfId="0" applyNumberFormat="1" applyFont="1" applyFill="1" applyBorder="1" applyAlignment="1">
      <alignment horizontal="center"/>
    </xf>
    <xf numFmtId="3" fontId="12" fillId="4" borderId="18" xfId="0" applyNumberFormat="1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3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Fill="1"/>
    <xf numFmtId="164" fontId="3" fillId="0" borderId="0" xfId="0" applyNumberFormat="1" applyFont="1" applyFill="1"/>
    <xf numFmtId="164" fontId="1" fillId="0" borderId="0" xfId="0" applyNumberFormat="1" applyFont="1" applyFill="1"/>
    <xf numFmtId="164" fontId="0" fillId="0" borderId="0" xfId="0" applyNumberFormat="1" applyFill="1" applyAlignment="1">
      <alignment horizontal="center"/>
    </xf>
    <xf numFmtId="0" fontId="1" fillId="0" borderId="0" xfId="0" applyFont="1" applyFill="1"/>
    <xf numFmtId="164" fontId="1" fillId="0" borderId="0" xfId="0" applyNumberFormat="1" applyFont="1" applyFill="1" applyBorder="1"/>
    <xf numFmtId="3" fontId="1" fillId="0" borderId="0" xfId="0" applyNumberFormat="1" applyFont="1" applyFill="1"/>
    <xf numFmtId="3" fontId="1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164" fontId="1" fillId="0" borderId="33" xfId="0" applyNumberFormat="1" applyFont="1" applyFill="1" applyBorder="1"/>
    <xf numFmtId="3" fontId="1" fillId="0" borderId="34" xfId="0" applyNumberFormat="1" applyFont="1" applyFill="1" applyBorder="1"/>
    <xf numFmtId="0" fontId="18" fillId="0" borderId="0" xfId="0" applyFont="1" applyFill="1"/>
    <xf numFmtId="164" fontId="18" fillId="0" borderId="0" xfId="0" applyNumberFormat="1" applyFont="1" applyFill="1"/>
    <xf numFmtId="0" fontId="1" fillId="0" borderId="13" xfId="0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3" fontId="1" fillId="0" borderId="12" xfId="0" applyNumberFormat="1" applyFont="1" applyFill="1" applyBorder="1" applyAlignment="1">
      <alignment horizontal="center"/>
    </xf>
    <xf numFmtId="164" fontId="18" fillId="0" borderId="9" xfId="0" applyNumberFormat="1" applyFont="1" applyFill="1" applyBorder="1" applyAlignment="1">
      <alignment vertical="center"/>
    </xf>
    <xf numFmtId="3" fontId="18" fillId="0" borderId="9" xfId="0" applyNumberFormat="1" applyFont="1" applyFill="1" applyBorder="1"/>
    <xf numFmtId="0" fontId="18" fillId="0" borderId="9" xfId="0" applyFont="1" applyFill="1" applyBorder="1"/>
    <xf numFmtId="14" fontId="18" fillId="0" borderId="8" xfId="0" applyNumberFormat="1" applyFont="1" applyFill="1" applyBorder="1"/>
    <xf numFmtId="0" fontId="18" fillId="0" borderId="7" xfId="0" applyFont="1" applyFill="1" applyBorder="1" applyAlignment="1">
      <alignment horizontal="center" vertical="center"/>
    </xf>
    <xf numFmtId="164" fontId="18" fillId="0" borderId="6" xfId="0" applyNumberFormat="1" applyFont="1" applyFill="1" applyBorder="1" applyAlignment="1">
      <alignment vertical="center"/>
    </xf>
    <xf numFmtId="3" fontId="18" fillId="0" borderId="6" xfId="0" applyNumberFormat="1" applyFont="1" applyFill="1" applyBorder="1"/>
    <xf numFmtId="0" fontId="18" fillId="0" borderId="6" xfId="0" applyFont="1" applyFill="1" applyBorder="1"/>
    <xf numFmtId="14" fontId="18" fillId="0" borderId="5" xfId="0" applyNumberFormat="1" applyFont="1" applyFill="1" applyBorder="1"/>
    <xf numFmtId="164" fontId="18" fillId="0" borderId="3" xfId="0" applyNumberFormat="1" applyFont="1" applyFill="1" applyBorder="1" applyAlignment="1">
      <alignment vertical="center"/>
    </xf>
    <xf numFmtId="3" fontId="18" fillId="0" borderId="3" xfId="0" applyNumberFormat="1" applyFont="1" applyFill="1" applyBorder="1"/>
    <xf numFmtId="0" fontId="18" fillId="0" borderId="3" xfId="0" applyFont="1" applyFill="1" applyBorder="1"/>
    <xf numFmtId="14" fontId="18" fillId="0" borderId="2" xfId="0" applyNumberFormat="1" applyFont="1" applyFill="1" applyBorder="1"/>
    <xf numFmtId="3" fontId="0" fillId="0" borderId="9" xfId="0" applyNumberFormat="1" applyFill="1" applyBorder="1"/>
    <xf numFmtId="0" fontId="0" fillId="0" borderId="9" xfId="0" applyFill="1" applyBorder="1"/>
    <xf numFmtId="14" fontId="0" fillId="0" borderId="8" xfId="0" applyNumberFormat="1" applyFill="1" applyBorder="1"/>
    <xf numFmtId="3" fontId="0" fillId="0" borderId="6" xfId="0" applyNumberFormat="1" applyFill="1" applyBorder="1"/>
    <xf numFmtId="0" fontId="0" fillId="0" borderId="6" xfId="0" applyFill="1" applyBorder="1"/>
    <xf numFmtId="14" fontId="0" fillId="0" borderId="5" xfId="0" applyNumberFormat="1" applyFill="1" applyBorder="1"/>
    <xf numFmtId="3" fontId="0" fillId="0" borderId="3" xfId="0" applyNumberFormat="1" applyFill="1" applyBorder="1"/>
    <xf numFmtId="0" fontId="0" fillId="0" borderId="3" xfId="0" applyFill="1" applyBorder="1"/>
    <xf numFmtId="14" fontId="0" fillId="0" borderId="2" xfId="0" applyNumberFormat="1" applyFill="1" applyBorder="1"/>
    <xf numFmtId="164" fontId="0" fillId="0" borderId="6" xfId="0" applyNumberFormat="1" applyFill="1" applyBorder="1" applyAlignment="1">
      <alignment vertical="center"/>
    </xf>
    <xf numFmtId="0" fontId="19" fillId="0" borderId="0" xfId="0" applyFont="1" applyFill="1"/>
    <xf numFmtId="0" fontId="2" fillId="0" borderId="0" xfId="0" applyFont="1" applyFill="1"/>
    <xf numFmtId="164" fontId="0" fillId="0" borderId="3" xfId="0" applyNumberFormat="1" applyFill="1" applyBorder="1" applyAlignment="1">
      <alignment vertical="center"/>
    </xf>
    <xf numFmtId="164" fontId="0" fillId="0" borderId="9" xfId="0" applyNumberFormat="1" applyFill="1" applyBorder="1" applyAlignment="1">
      <alignment vertical="center"/>
    </xf>
    <xf numFmtId="164" fontId="2" fillId="0" borderId="0" xfId="0" applyNumberFormat="1" applyFont="1" applyFill="1"/>
    <xf numFmtId="3" fontId="0" fillId="0" borderId="6" xfId="0" applyNumberFormat="1" applyFont="1" applyFill="1" applyBorder="1"/>
    <xf numFmtId="0" fontId="0" fillId="0" borderId="0" xfId="0" applyFont="1" applyFill="1"/>
    <xf numFmtId="166" fontId="0" fillId="0" borderId="0" xfId="0" applyNumberFormat="1" applyFill="1"/>
    <xf numFmtId="0" fontId="1" fillId="0" borderId="14" xfId="0" applyFont="1" applyFill="1" applyBorder="1" applyAlignment="1">
      <alignment horizontal="center" vertical="center"/>
    </xf>
    <xf numFmtId="164" fontId="18" fillId="0" borderId="15" xfId="0" applyNumberFormat="1" applyFont="1" applyFill="1" applyBorder="1" applyAlignment="1">
      <alignment vertical="center"/>
    </xf>
    <xf numFmtId="3" fontId="0" fillId="0" borderId="15" xfId="0" applyNumberFormat="1" applyFill="1" applyBorder="1"/>
    <xf numFmtId="14" fontId="0" fillId="0" borderId="16" xfId="0" applyNumberFormat="1" applyFill="1" applyBorder="1"/>
    <xf numFmtId="3" fontId="0" fillId="0" borderId="15" xfId="0" applyNumberFormat="1" applyFont="1" applyFill="1" applyBorder="1"/>
    <xf numFmtId="164" fontId="0" fillId="0" borderId="0" xfId="0" applyNumberFormat="1" applyFont="1" applyFill="1"/>
    <xf numFmtId="164" fontId="19" fillId="0" borderId="0" xfId="0" applyNumberFormat="1" applyFont="1" applyFill="1"/>
    <xf numFmtId="0" fontId="20" fillId="0" borderId="7" xfId="0" applyFont="1" applyFill="1" applyBorder="1" applyAlignment="1">
      <alignment horizontal="center" vertical="center"/>
    </xf>
    <xf numFmtId="164" fontId="18" fillId="0" borderId="6" xfId="0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164" fontId="18" fillId="0" borderId="3" xfId="0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/>
    </xf>
    <xf numFmtId="164" fontId="20" fillId="0" borderId="12" xfId="0" applyNumberFormat="1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3" fontId="20" fillId="0" borderId="12" xfId="0" applyNumberFormat="1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3" fontId="18" fillId="0" borderId="0" xfId="0" applyNumberFormat="1" applyFont="1" applyFill="1"/>
    <xf numFmtId="0" fontId="20" fillId="0" borderId="0" xfId="0" applyFont="1" applyFill="1"/>
    <xf numFmtId="164" fontId="20" fillId="0" borderId="33" xfId="0" applyNumberFormat="1" applyFont="1" applyFill="1" applyBorder="1"/>
    <xf numFmtId="3" fontId="20" fillId="0" borderId="0" xfId="0" applyNumberFormat="1" applyFont="1" applyFill="1"/>
    <xf numFmtId="3" fontId="20" fillId="0" borderId="34" xfId="0" applyNumberFormat="1" applyFont="1" applyFill="1" applyBorder="1"/>
    <xf numFmtId="0" fontId="20" fillId="0" borderId="10" xfId="0" applyFont="1" applyFill="1" applyBorder="1" applyAlignment="1">
      <alignment horizontal="center" vertical="center"/>
    </xf>
    <xf numFmtId="164" fontId="18" fillId="0" borderId="9" xfId="0" applyNumberFormat="1" applyFon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vertical="center"/>
    </xf>
    <xf numFmtId="164" fontId="1" fillId="0" borderId="1" xfId="0" applyNumberFormat="1" applyFont="1" applyFill="1" applyBorder="1"/>
    <xf numFmtId="3" fontId="1" fillId="0" borderId="13" xfId="0" applyNumberFormat="1" applyFont="1" applyFill="1" applyBorder="1"/>
    <xf numFmtId="0" fontId="1" fillId="0" borderId="13" xfId="0" applyFon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vertical="center"/>
    </xf>
    <xf numFmtId="3" fontId="0" fillId="0" borderId="12" xfId="0" applyNumberFormat="1" applyFill="1" applyBorder="1"/>
    <xf numFmtId="14" fontId="0" fillId="0" borderId="11" xfId="0" applyNumberFormat="1" applyFill="1" applyBorder="1"/>
    <xf numFmtId="164" fontId="1" fillId="0" borderId="0" xfId="0" applyNumberFormat="1" applyFont="1" applyFill="1" applyAlignment="1">
      <alignment horizontal="center"/>
    </xf>
    <xf numFmtId="0" fontId="21" fillId="0" borderId="0" xfId="0" applyFont="1"/>
    <xf numFmtId="0" fontId="22" fillId="0" borderId="0" xfId="0" applyFont="1"/>
    <xf numFmtId="0" fontId="23" fillId="0" borderId="0" xfId="0" applyFont="1"/>
    <xf numFmtId="164" fontId="23" fillId="0" borderId="0" xfId="0" applyNumberFormat="1" applyFont="1"/>
    <xf numFmtId="3" fontId="21" fillId="0" borderId="0" xfId="0" applyNumberFormat="1" applyFont="1"/>
    <xf numFmtId="3" fontId="22" fillId="0" borderId="5" xfId="0" applyNumberFormat="1" applyFont="1" applyBorder="1" applyAlignment="1">
      <alignment horizontal="center"/>
    </xf>
    <xf numFmtId="3" fontId="22" fillId="0" borderId="7" xfId="0" applyNumberFormat="1" applyFont="1" applyBorder="1" applyAlignment="1">
      <alignment horizontal="center"/>
    </xf>
    <xf numFmtId="3" fontId="27" fillId="8" borderId="5" xfId="0" applyNumberFormat="1" applyFont="1" applyFill="1" applyBorder="1"/>
    <xf numFmtId="3" fontId="27" fillId="8" borderId="6" xfId="0" applyNumberFormat="1" applyFont="1" applyFill="1" applyBorder="1"/>
    <xf numFmtId="3" fontId="27" fillId="8" borderId="7" xfId="0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6" xfId="0" applyNumberFormat="1" applyFont="1" applyBorder="1"/>
    <xf numFmtId="3" fontId="21" fillId="0" borderId="7" xfId="0" applyNumberFormat="1" applyFont="1" applyBorder="1"/>
    <xf numFmtId="3" fontId="31" fillId="2" borderId="5" xfId="0" applyNumberFormat="1" applyFont="1" applyFill="1" applyBorder="1"/>
    <xf numFmtId="3" fontId="31" fillId="2" borderId="6" xfId="0" applyNumberFormat="1" applyFont="1" applyFill="1" applyBorder="1"/>
    <xf numFmtId="3" fontId="31" fillId="2" borderId="7" xfId="0" applyNumberFormat="1" applyFont="1" applyFill="1" applyBorder="1"/>
    <xf numFmtId="3" fontId="29" fillId="8" borderId="5" xfId="0" applyNumberFormat="1" applyFont="1" applyFill="1" applyBorder="1" applyAlignment="1">
      <alignment horizontal="center"/>
    </xf>
    <xf numFmtId="3" fontId="29" fillId="8" borderId="6" xfId="0" applyNumberFormat="1" applyFont="1" applyFill="1" applyBorder="1" applyAlignment="1">
      <alignment horizontal="center"/>
    </xf>
    <xf numFmtId="3" fontId="29" fillId="8" borderId="7" xfId="0" applyNumberFormat="1" applyFont="1" applyFill="1" applyBorder="1" applyAlignment="1">
      <alignment horizontal="center"/>
    </xf>
    <xf numFmtId="3" fontId="22" fillId="0" borderId="5" xfId="0" applyNumberFormat="1" applyFont="1" applyBorder="1" applyAlignment="1">
      <alignment horizontal="right"/>
    </xf>
    <xf numFmtId="3" fontId="22" fillId="0" borderId="6" xfId="0" applyNumberFormat="1" applyFont="1" applyBorder="1" applyAlignment="1">
      <alignment horizontal="right"/>
    </xf>
    <xf numFmtId="3" fontId="22" fillId="0" borderId="7" xfId="0" applyNumberFormat="1" applyFont="1" applyBorder="1" applyAlignment="1">
      <alignment horizontal="right"/>
    </xf>
    <xf numFmtId="3" fontId="24" fillId="0" borderId="5" xfId="0" applyNumberFormat="1" applyFont="1" applyBorder="1" applyAlignment="1">
      <alignment horizontal="right" indent="1"/>
    </xf>
    <xf numFmtId="3" fontId="23" fillId="0" borderId="6" xfId="0" applyNumberFormat="1" applyFont="1" applyBorder="1" applyAlignment="1">
      <alignment horizontal="right" indent="1"/>
    </xf>
    <xf numFmtId="3" fontId="23" fillId="0" borderId="7" xfId="0" applyNumberFormat="1" applyFont="1" applyBorder="1" applyAlignment="1">
      <alignment horizontal="right" indent="1"/>
    </xf>
    <xf numFmtId="3" fontId="21" fillId="0" borderId="5" xfId="0" applyNumberFormat="1" applyFont="1" applyBorder="1" applyAlignment="1">
      <alignment horizontal="right" indent="1"/>
    </xf>
    <xf numFmtId="3" fontId="21" fillId="0" borderId="6" xfId="0" applyNumberFormat="1" applyFont="1" applyBorder="1" applyAlignment="1">
      <alignment horizontal="right" indent="1"/>
    </xf>
    <xf numFmtId="3" fontId="21" fillId="0" borderId="7" xfId="0" applyNumberFormat="1" applyFont="1" applyBorder="1" applyAlignment="1">
      <alignment horizontal="right" indent="1"/>
    </xf>
    <xf numFmtId="3" fontId="22" fillId="0" borderId="5" xfId="0" applyNumberFormat="1" applyFont="1" applyBorder="1"/>
    <xf numFmtId="3" fontId="22" fillId="0" borderId="6" xfId="0" applyNumberFormat="1" applyFont="1" applyBorder="1"/>
    <xf numFmtId="3" fontId="22" fillId="0" borderId="7" xfId="0" applyNumberFormat="1" applyFont="1" applyBorder="1"/>
    <xf numFmtId="3" fontId="21" fillId="0" borderId="7" xfId="0" applyNumberFormat="1" applyFont="1" applyBorder="1" applyAlignment="1">
      <alignment horizontal="center"/>
    </xf>
    <xf numFmtId="3" fontId="24" fillId="0" borderId="7" xfId="0" applyNumberFormat="1" applyFont="1" applyBorder="1" applyAlignment="1">
      <alignment horizontal="right" indent="1"/>
    </xf>
    <xf numFmtId="0" fontId="27" fillId="8" borderId="28" xfId="0" applyFont="1" applyFill="1" applyBorder="1"/>
    <xf numFmtId="0" fontId="23" fillId="0" borderId="28" xfId="0" applyFont="1" applyBorder="1"/>
    <xf numFmtId="0" fontId="30" fillId="2" borderId="28" xfId="0" applyFont="1" applyFill="1" applyBorder="1"/>
    <xf numFmtId="0" fontId="28" fillId="8" borderId="28" xfId="0" applyFont="1" applyFill="1" applyBorder="1"/>
    <xf numFmtId="0" fontId="22" fillId="0" borderId="28" xfId="0" applyFont="1" applyBorder="1"/>
    <xf numFmtId="0" fontId="23" fillId="0" borderId="28" xfId="0" applyFont="1" applyBorder="1" applyAlignment="1">
      <alignment horizontal="left" indent="1"/>
    </xf>
    <xf numFmtId="0" fontId="22" fillId="0" borderId="28" xfId="0" applyFont="1" applyBorder="1" applyAlignment="1">
      <alignment horizontal="left"/>
    </xf>
    <xf numFmtId="0" fontId="22" fillId="0" borderId="28" xfId="0" applyFont="1" applyBorder="1" applyAlignment="1"/>
    <xf numFmtId="4" fontId="23" fillId="0" borderId="0" xfId="0" applyNumberFormat="1" applyFont="1"/>
    <xf numFmtId="0" fontId="32" fillId="0" borderId="0" xfId="0" applyFont="1"/>
    <xf numFmtId="0" fontId="24" fillId="0" borderId="28" xfId="0" applyFont="1" applyBorder="1"/>
    <xf numFmtId="0" fontId="25" fillId="9" borderId="28" xfId="0" applyFont="1" applyFill="1" applyBorder="1"/>
    <xf numFmtId="3" fontId="33" fillId="9" borderId="5" xfId="0" applyNumberFormat="1" applyFont="1" applyFill="1" applyBorder="1" applyAlignment="1">
      <alignment horizontal="center"/>
    </xf>
    <xf numFmtId="3" fontId="33" fillId="9" borderId="7" xfId="0" applyNumberFormat="1" applyFont="1" applyFill="1" applyBorder="1" applyAlignment="1">
      <alignment horizontal="center"/>
    </xf>
    <xf numFmtId="3" fontId="34" fillId="9" borderId="6" xfId="0" applyNumberFormat="1" applyFont="1" applyFill="1" applyBorder="1"/>
    <xf numFmtId="3" fontId="34" fillId="9" borderId="7" xfId="0" applyNumberFormat="1" applyFont="1" applyFill="1" applyBorder="1"/>
    <xf numFmtId="0" fontId="23" fillId="0" borderId="28" xfId="0" applyFont="1" applyBorder="1" applyAlignment="1">
      <alignment horizontal="left" indent="2"/>
    </xf>
    <xf numFmtId="3" fontId="22" fillId="7" borderId="36" xfId="0" applyNumberFormat="1" applyFont="1" applyFill="1" applyBorder="1" applyAlignment="1">
      <alignment horizontal="center"/>
    </xf>
    <xf numFmtId="3" fontId="22" fillId="7" borderId="34" xfId="0" applyNumberFormat="1" applyFont="1" applyFill="1" applyBorder="1" applyAlignment="1">
      <alignment horizontal="center"/>
    </xf>
    <xf numFmtId="3" fontId="22" fillId="7" borderId="35" xfId="0" applyNumberFormat="1" applyFont="1" applyFill="1" applyBorder="1" applyAlignment="1">
      <alignment horizontal="center"/>
    </xf>
    <xf numFmtId="3" fontId="22" fillId="7" borderId="39" xfId="0" applyNumberFormat="1" applyFont="1" applyFill="1" applyBorder="1" applyAlignment="1">
      <alignment horizontal="center"/>
    </xf>
    <xf numFmtId="0" fontId="37" fillId="3" borderId="19" xfId="0" applyFont="1" applyFill="1" applyBorder="1" applyAlignment="1">
      <alignment horizontal="center"/>
    </xf>
    <xf numFmtId="0" fontId="37" fillId="3" borderId="30" xfId="0" applyFont="1" applyFill="1" applyBorder="1" applyAlignment="1">
      <alignment horizontal="center"/>
    </xf>
    <xf numFmtId="0" fontId="37" fillId="3" borderId="32" xfId="0" applyFont="1" applyFill="1" applyBorder="1" applyAlignment="1">
      <alignment horizontal="center"/>
    </xf>
    <xf numFmtId="0" fontId="37" fillId="3" borderId="31" xfId="0" applyFont="1" applyFill="1" applyBorder="1" applyAlignment="1">
      <alignment horizontal="center"/>
    </xf>
    <xf numFmtId="0" fontId="37" fillId="3" borderId="18" xfId="0" applyFont="1" applyFill="1" applyBorder="1" applyAlignment="1">
      <alignment horizontal="center"/>
    </xf>
    <xf numFmtId="0" fontId="37" fillId="3" borderId="17" xfId="0" applyFont="1" applyFill="1" applyBorder="1" applyAlignment="1">
      <alignment horizontal="center"/>
    </xf>
    <xf numFmtId="0" fontId="5" fillId="0" borderId="1" xfId="0" applyFont="1" applyFill="1" applyBorder="1"/>
    <xf numFmtId="167" fontId="5" fillId="0" borderId="1" xfId="0" applyNumberFormat="1" applyFont="1" applyFill="1" applyBorder="1"/>
    <xf numFmtId="14" fontId="5" fillId="0" borderId="1" xfId="0" applyNumberFormat="1" applyFont="1" applyFill="1" applyBorder="1"/>
    <xf numFmtId="14" fontId="5" fillId="0" borderId="1" xfId="0" applyNumberFormat="1" applyFont="1" applyFill="1" applyBorder="1" applyAlignment="1">
      <alignment horizontal="right"/>
    </xf>
    <xf numFmtId="0" fontId="38" fillId="0" borderId="1" xfId="0" applyFont="1" applyFill="1" applyBorder="1"/>
    <xf numFmtId="168" fontId="37" fillId="3" borderId="33" xfId="0" applyNumberFormat="1" applyFont="1" applyFill="1" applyBorder="1" applyAlignment="1">
      <alignment horizontal="right"/>
    </xf>
    <xf numFmtId="14" fontId="0" fillId="0" borderId="0" xfId="0" applyNumberFormat="1"/>
    <xf numFmtId="169" fontId="0" fillId="0" borderId="0" xfId="0" applyNumberFormat="1"/>
    <xf numFmtId="169" fontId="5" fillId="0" borderId="1" xfId="0" applyNumberFormat="1" applyFont="1" applyFill="1" applyBorder="1"/>
    <xf numFmtId="170" fontId="5" fillId="0" borderId="1" xfId="0" applyNumberFormat="1" applyFont="1" applyFill="1" applyBorder="1"/>
    <xf numFmtId="4" fontId="5" fillId="0" borderId="1" xfId="0" applyNumberFormat="1" applyFont="1" applyFill="1" applyBorder="1"/>
    <xf numFmtId="14" fontId="5" fillId="0" borderId="26" xfId="0" applyNumberFormat="1" applyFont="1" applyFill="1" applyBorder="1" applyAlignment="1">
      <alignment horizontal="right"/>
    </xf>
    <xf numFmtId="14" fontId="0" fillId="0" borderId="0" xfId="0" applyNumberFormat="1" applyFill="1"/>
    <xf numFmtId="4" fontId="37" fillId="3" borderId="33" xfId="0" applyNumberFormat="1" applyFont="1" applyFill="1" applyBorder="1"/>
    <xf numFmtId="4" fontId="0" fillId="0" borderId="0" xfId="0" applyNumberFormat="1"/>
    <xf numFmtId="0" fontId="1" fillId="0" borderId="2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0" fillId="0" borderId="6" xfId="0" applyNumberForma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7" xfId="0" applyFont="1" applyFill="1" applyBorder="1" applyAlignment="1">
      <alignment horizontal="center"/>
    </xf>
    <xf numFmtId="164" fontId="20" fillId="0" borderId="0" xfId="0" applyNumberFormat="1" applyFont="1" applyFill="1"/>
    <xf numFmtId="164" fontId="21" fillId="0" borderId="0" xfId="0" applyNumberFormat="1" applyFont="1"/>
    <xf numFmtId="43" fontId="23" fillId="0" borderId="0" xfId="4" applyFont="1"/>
    <xf numFmtId="0" fontId="6" fillId="3" borderId="19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5" fillId="0" borderId="16" xfId="0" applyFont="1" applyFill="1" applyBorder="1"/>
    <xf numFmtId="0" fontId="5" fillId="0" borderId="15" xfId="0" applyFont="1" applyFill="1" applyBorder="1"/>
    <xf numFmtId="4" fontId="5" fillId="0" borderId="15" xfId="0" applyNumberFormat="1" applyFont="1" applyFill="1" applyBorder="1"/>
    <xf numFmtId="0" fontId="5" fillId="0" borderId="15" xfId="0" applyFont="1" applyFill="1" applyBorder="1" applyAlignment="1">
      <alignment horizontal="left"/>
    </xf>
    <xf numFmtId="14" fontId="5" fillId="0" borderId="15" xfId="0" applyNumberFormat="1" applyFont="1" applyFill="1" applyBorder="1" applyAlignment="1">
      <alignment horizontal="right"/>
    </xf>
    <xf numFmtId="4" fontId="5" fillId="0" borderId="15" xfId="0" applyNumberFormat="1" applyFont="1" applyFill="1" applyBorder="1" applyAlignment="1">
      <alignment horizontal="center"/>
    </xf>
    <xf numFmtId="0" fontId="5" fillId="0" borderId="14" xfId="0" applyFont="1" applyFill="1" applyBorder="1" applyAlignment="1">
      <alignment horizontal="left" vertical="center"/>
    </xf>
    <xf numFmtId="14" fontId="5" fillId="0" borderId="15" xfId="0" applyNumberFormat="1" applyFont="1" applyFill="1" applyBorder="1"/>
    <xf numFmtId="0" fontId="5" fillId="0" borderId="9" xfId="0" applyFont="1" applyFill="1" applyBorder="1" applyAlignment="1">
      <alignment horizontal="left"/>
    </xf>
    <xf numFmtId="4" fontId="42" fillId="10" borderId="0" xfId="0" applyNumberFormat="1" applyFont="1" applyFill="1" applyAlignment="1"/>
    <xf numFmtId="43" fontId="5" fillId="0" borderId="0" xfId="4" applyFont="1" applyBorder="1"/>
    <xf numFmtId="4" fontId="4" fillId="0" borderId="0" xfId="0" applyNumberFormat="1" applyFont="1"/>
    <xf numFmtId="171" fontId="5" fillId="0" borderId="0" xfId="0" applyNumberFormat="1" applyFont="1" applyFill="1" applyBorder="1"/>
    <xf numFmtId="0" fontId="5" fillId="0" borderId="14" xfId="0" applyFont="1" applyFill="1" applyBorder="1"/>
    <xf numFmtId="0" fontId="4" fillId="0" borderId="10" xfId="0" applyFont="1" applyFill="1" applyBorder="1"/>
    <xf numFmtId="0" fontId="4" fillId="0" borderId="0" xfId="0" applyFont="1" applyAlignment="1">
      <alignment horizontal="center"/>
    </xf>
    <xf numFmtId="0" fontId="42" fillId="0" borderId="0" xfId="0" applyFont="1" applyFill="1" applyAlignment="1">
      <alignment horizontal="left"/>
    </xf>
    <xf numFmtId="172" fontId="22" fillId="7" borderId="29" xfId="0" applyNumberFormat="1" applyFont="1" applyFill="1" applyBorder="1"/>
    <xf numFmtId="172" fontId="22" fillId="7" borderId="2" xfId="0" applyNumberFormat="1" applyFont="1" applyFill="1" applyBorder="1" applyAlignment="1">
      <alignment horizontal="center"/>
    </xf>
    <xf numFmtId="172" fontId="22" fillId="7" borderId="4" xfId="0" applyNumberFormat="1" applyFont="1" applyFill="1" applyBorder="1" applyAlignment="1">
      <alignment horizontal="center"/>
    </xf>
    <xf numFmtId="172" fontId="22" fillId="7" borderId="3" xfId="0" applyNumberFormat="1" applyFont="1" applyFill="1" applyBorder="1" applyAlignment="1">
      <alignment horizontal="center"/>
    </xf>
    <xf numFmtId="172" fontId="21" fillId="0" borderId="0" xfId="0" applyNumberFormat="1" applyFont="1"/>
    <xf numFmtId="172" fontId="22" fillId="7" borderId="28" xfId="0" applyNumberFormat="1" applyFont="1" applyFill="1" applyBorder="1"/>
    <xf numFmtId="172" fontId="22" fillId="7" borderId="5" xfId="0" applyNumberFormat="1" applyFont="1" applyFill="1" applyBorder="1" applyAlignment="1">
      <alignment horizontal="center"/>
    </xf>
    <xf numFmtId="172" fontId="22" fillId="7" borderId="7" xfId="0" applyNumberFormat="1" applyFont="1" applyFill="1" applyBorder="1" applyAlignment="1">
      <alignment horizontal="center"/>
    </xf>
    <xf numFmtId="172" fontId="22" fillId="7" borderId="6" xfId="0" applyNumberFormat="1" applyFont="1" applyFill="1" applyBorder="1" applyAlignment="1">
      <alignment horizontal="center"/>
    </xf>
    <xf numFmtId="172" fontId="26" fillId="6" borderId="27" xfId="0" applyNumberFormat="1" applyFont="1" applyFill="1" applyBorder="1"/>
    <xf numFmtId="172" fontId="33" fillId="6" borderId="8" xfId="0" applyNumberFormat="1" applyFont="1" applyFill="1" applyBorder="1"/>
    <xf numFmtId="172" fontId="33" fillId="6" borderId="10" xfId="0" applyNumberFormat="1" applyFont="1" applyFill="1" applyBorder="1"/>
    <xf numFmtId="172" fontId="33" fillId="6" borderId="9" xfId="0" applyNumberFormat="1" applyFont="1" applyFill="1" applyBorder="1"/>
    <xf numFmtId="0" fontId="24" fillId="0" borderId="0" xfId="0" applyFont="1"/>
    <xf numFmtId="0" fontId="31" fillId="0" borderId="0" xfId="0" applyFont="1"/>
    <xf numFmtId="0" fontId="24" fillId="0" borderId="5" xfId="0" applyFont="1" applyBorder="1"/>
    <xf numFmtId="14" fontId="24" fillId="0" borderId="6" xfId="0" applyNumberFormat="1" applyFont="1" applyBorder="1"/>
    <xf numFmtId="0" fontId="24" fillId="0" borderId="6" xfId="0" applyFont="1" applyBorder="1"/>
    <xf numFmtId="4" fontId="24" fillId="0" borderId="6" xfId="0" applyNumberFormat="1" applyFont="1" applyBorder="1"/>
    <xf numFmtId="164" fontId="24" fillId="0" borderId="6" xfId="0" applyNumberFormat="1" applyFont="1" applyBorder="1"/>
    <xf numFmtId="14" fontId="24" fillId="0" borderId="7" xfId="0" applyNumberFormat="1" applyFont="1" applyBorder="1"/>
    <xf numFmtId="0" fontId="23" fillId="0" borderId="8" xfId="0" applyFont="1" applyBorder="1"/>
    <xf numFmtId="14" fontId="23" fillId="0" borderId="9" xfId="0" applyNumberFormat="1" applyFont="1" applyBorder="1"/>
    <xf numFmtId="0" fontId="23" fillId="0" borderId="9" xfId="0" applyFont="1" applyBorder="1"/>
    <xf numFmtId="4" fontId="23" fillId="0" borderId="9" xfId="0" applyNumberFormat="1" applyFont="1" applyBorder="1"/>
    <xf numFmtId="164" fontId="23" fillId="0" borderId="9" xfId="0" applyNumberFormat="1" applyFont="1" applyBorder="1"/>
    <xf numFmtId="14" fontId="23" fillId="0" borderId="10" xfId="0" applyNumberFormat="1" applyFont="1" applyBorder="1"/>
    <xf numFmtId="164" fontId="24" fillId="0" borderId="5" xfId="0" applyNumberFormat="1" applyFont="1" applyBorder="1"/>
    <xf numFmtId="0" fontId="24" fillId="0" borderId="7" xfId="0" applyFont="1" applyBorder="1"/>
    <xf numFmtId="164" fontId="23" fillId="0" borderId="8" xfId="0" applyNumberFormat="1" applyFont="1" applyBorder="1"/>
    <xf numFmtId="0" fontId="23" fillId="0" borderId="10" xfId="0" applyFont="1" applyBorder="1"/>
    <xf numFmtId="4" fontId="24" fillId="0" borderId="5" xfId="0" applyNumberFormat="1" applyFont="1" applyBorder="1"/>
    <xf numFmtId="4" fontId="23" fillId="0" borderId="8" xfId="0" applyNumberFormat="1" applyFont="1" applyBorder="1"/>
    <xf numFmtId="0" fontId="23" fillId="0" borderId="27" xfId="0" applyFont="1" applyBorder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43" fillId="11" borderId="0" xfId="0" applyFont="1" applyFill="1" applyAlignment="1">
      <alignment horizontal="center" wrapText="1"/>
    </xf>
    <xf numFmtId="1" fontId="43" fillId="11" borderId="0" xfId="0" applyNumberFormat="1" applyFont="1" applyFill="1" applyAlignment="1">
      <alignment horizontal="center" wrapText="1"/>
    </xf>
    <xf numFmtId="0" fontId="44" fillId="12" borderId="0" xfId="5" applyFill="1" applyAlignment="1" applyProtection="1">
      <alignment horizontal="center" wrapText="1"/>
    </xf>
    <xf numFmtId="0" fontId="45" fillId="12" borderId="0" xfId="0" applyFont="1" applyFill="1" applyAlignment="1">
      <alignment horizontal="left" wrapText="1"/>
    </xf>
    <xf numFmtId="14" fontId="45" fillId="13" borderId="0" xfId="0" applyNumberFormat="1" applyFont="1" applyFill="1" applyAlignment="1">
      <alignment horizontal="center" wrapText="1"/>
    </xf>
    <xf numFmtId="164" fontId="45" fillId="13" borderId="0" xfId="0" applyNumberFormat="1" applyFont="1" applyFill="1" applyAlignment="1">
      <alignment horizontal="right" wrapText="1"/>
    </xf>
    <xf numFmtId="14" fontId="45" fillId="12" borderId="0" xfId="0" applyNumberFormat="1" applyFont="1" applyFill="1" applyAlignment="1">
      <alignment horizontal="center" wrapText="1"/>
    </xf>
    <xf numFmtId="164" fontId="45" fillId="12" borderId="0" xfId="0" applyNumberFormat="1" applyFont="1" applyFill="1" applyAlignment="1">
      <alignment horizontal="right" wrapText="1"/>
    </xf>
    <xf numFmtId="0" fontId="45" fillId="13" borderId="0" xfId="0" applyFont="1" applyFill="1" applyAlignment="1">
      <alignment horizontal="right" wrapText="1"/>
    </xf>
    <xf numFmtId="0" fontId="44" fillId="13" borderId="0" xfId="5" applyFill="1" applyAlignment="1" applyProtection="1">
      <alignment horizontal="center" wrapText="1"/>
    </xf>
    <xf numFmtId="0" fontId="45" fillId="13" borderId="0" xfId="0" applyFont="1" applyFill="1" applyAlignment="1">
      <alignment horizontal="left" wrapText="1"/>
    </xf>
    <xf numFmtId="0" fontId="45" fillId="12" borderId="0" xfId="0" applyFont="1" applyFill="1" applyAlignment="1">
      <alignment horizontal="right" wrapText="1"/>
    </xf>
    <xf numFmtId="4" fontId="45" fillId="12" borderId="0" xfId="0" applyNumberFormat="1" applyFont="1" applyFill="1" applyAlignment="1">
      <alignment horizontal="right" wrapText="1"/>
    </xf>
    <xf numFmtId="4" fontId="45" fillId="13" borderId="0" xfId="0" applyNumberFormat="1" applyFont="1" applyFill="1" applyAlignment="1">
      <alignment horizontal="right" wrapText="1"/>
    </xf>
    <xf numFmtId="164" fontId="10" fillId="12" borderId="0" xfId="0" applyNumberFormat="1" applyFont="1" applyFill="1" applyAlignment="1">
      <alignment horizontal="right" wrapText="1"/>
    </xf>
    <xf numFmtId="0" fontId="10" fillId="13" borderId="0" xfId="0" applyFont="1" applyFill="1" applyAlignment="1">
      <alignment horizontal="right" wrapText="1"/>
    </xf>
    <xf numFmtId="14" fontId="10" fillId="12" borderId="0" xfId="0" applyNumberFormat="1" applyFont="1" applyFill="1" applyAlignment="1">
      <alignment horizontal="center" wrapText="1"/>
    </xf>
    <xf numFmtId="164" fontId="10" fillId="13" borderId="0" xfId="0" applyNumberFormat="1" applyFont="1" applyFill="1" applyAlignment="1">
      <alignment horizontal="right" wrapText="1"/>
    </xf>
    <xf numFmtId="0" fontId="10" fillId="12" borderId="0" xfId="0" applyFont="1" applyFill="1" applyAlignment="1">
      <alignment horizontal="right" wrapText="1"/>
    </xf>
    <xf numFmtId="4" fontId="10" fillId="13" borderId="0" xfId="0" applyNumberFormat="1" applyFont="1" applyFill="1" applyAlignment="1">
      <alignment horizontal="right" wrapText="1"/>
    </xf>
    <xf numFmtId="4" fontId="10" fillId="12" borderId="0" xfId="0" applyNumberFormat="1" applyFont="1" applyFill="1" applyAlignment="1">
      <alignment horizontal="right" wrapText="1"/>
    </xf>
    <xf numFmtId="4" fontId="24" fillId="0" borderId="28" xfId="0" applyNumberFormat="1" applyFont="1" applyBorder="1"/>
    <xf numFmtId="0" fontId="18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46" fillId="0" borderId="0" xfId="0" applyFont="1"/>
    <xf numFmtId="164" fontId="46" fillId="0" borderId="13" xfId="0" applyNumberFormat="1" applyFont="1" applyBorder="1"/>
    <xf numFmtId="0" fontId="25" fillId="0" borderId="0" xfId="0" applyFont="1"/>
    <xf numFmtId="0" fontId="47" fillId="0" borderId="16" xfId="0" applyFont="1" applyFill="1" applyBorder="1"/>
    <xf numFmtId="0" fontId="47" fillId="0" borderId="15" xfId="0" applyFont="1" applyFill="1" applyBorder="1"/>
    <xf numFmtId="4" fontId="47" fillId="0" borderId="15" xfId="0" applyNumberFormat="1" applyFont="1" applyFill="1" applyBorder="1"/>
    <xf numFmtId="14" fontId="47" fillId="0" borderId="15" xfId="0" applyNumberFormat="1" applyFont="1" applyFill="1" applyBorder="1"/>
    <xf numFmtId="14" fontId="47" fillId="0" borderId="15" xfId="0" applyNumberFormat="1" applyFont="1" applyFill="1" applyBorder="1" applyAlignment="1">
      <alignment horizontal="right"/>
    </xf>
    <xf numFmtId="4" fontId="47" fillId="0" borderId="15" xfId="0" applyNumberFormat="1" applyFont="1" applyFill="1" applyBorder="1" applyAlignment="1">
      <alignment horizontal="center"/>
    </xf>
    <xf numFmtId="0" fontId="47" fillId="0" borderId="14" xfId="0" applyFont="1" applyFill="1" applyBorder="1"/>
    <xf numFmtId="0" fontId="47" fillId="0" borderId="14" xfId="0" applyFont="1" applyFill="1" applyBorder="1" applyAlignment="1">
      <alignment horizontal="left" vertical="center"/>
    </xf>
    <xf numFmtId="0" fontId="47" fillId="0" borderId="15" xfId="0" applyFont="1" applyFill="1" applyBorder="1" applyAlignment="1">
      <alignment horizontal="left"/>
    </xf>
    <xf numFmtId="14" fontId="17" fillId="0" borderId="3" xfId="0" applyNumberFormat="1" applyFont="1" applyFill="1" applyBorder="1" applyAlignment="1">
      <alignment horizontal="right"/>
    </xf>
    <xf numFmtId="14" fontId="17" fillId="0" borderId="4" xfId="0" applyNumberFormat="1" applyFont="1" applyFill="1" applyBorder="1" applyAlignment="1">
      <alignment horizontal="right"/>
    </xf>
    <xf numFmtId="14" fontId="17" fillId="0" borderId="9" xfId="0" applyNumberFormat="1" applyFont="1" applyFill="1" applyBorder="1" applyAlignment="1">
      <alignment horizontal="right"/>
    </xf>
    <xf numFmtId="14" fontId="17" fillId="0" borderId="10" xfId="0" applyNumberFormat="1" applyFont="1" applyFill="1" applyBorder="1" applyAlignment="1">
      <alignment horizontal="right"/>
    </xf>
    <xf numFmtId="0" fontId="17" fillId="0" borderId="5" xfId="0" applyFont="1" applyFill="1" applyBorder="1" applyAlignment="1">
      <alignment horizontal="left"/>
    </xf>
    <xf numFmtId="14" fontId="17" fillId="0" borderId="6" xfId="0" applyNumberFormat="1" applyFont="1" applyFill="1" applyBorder="1" applyAlignment="1">
      <alignment horizontal="left"/>
    </xf>
    <xf numFmtId="3" fontId="17" fillId="0" borderId="6" xfId="0" applyNumberFormat="1" applyFont="1" applyFill="1" applyBorder="1" applyAlignment="1">
      <alignment horizontal="right"/>
    </xf>
    <xf numFmtId="3" fontId="14" fillId="0" borderId="6" xfId="0" applyNumberFormat="1" applyFont="1" applyFill="1" applyBorder="1" applyAlignment="1">
      <alignment horizontal="right"/>
    </xf>
    <xf numFmtId="14" fontId="17" fillId="0" borderId="6" xfId="0" applyNumberFormat="1" applyFont="1" applyFill="1" applyBorder="1" applyAlignment="1">
      <alignment horizontal="right"/>
    </xf>
    <xf numFmtId="14" fontId="17" fillId="0" borderId="7" xfId="0" applyNumberFormat="1" applyFont="1" applyFill="1" applyBorder="1" applyAlignment="1">
      <alignment horizontal="right"/>
    </xf>
    <xf numFmtId="14" fontId="17" fillId="0" borderId="12" xfId="0" applyNumberFormat="1" applyFont="1" applyFill="1" applyBorder="1" applyAlignment="1">
      <alignment horizontal="right"/>
    </xf>
    <xf numFmtId="14" fontId="17" fillId="0" borderId="13" xfId="0" applyNumberFormat="1" applyFont="1" applyFill="1" applyBorder="1" applyAlignment="1">
      <alignment horizontal="right"/>
    </xf>
    <xf numFmtId="0" fontId="18" fillId="0" borderId="4" xfId="0" applyFont="1" applyFill="1" applyBorder="1" applyAlignment="1">
      <alignment horizontal="center" vertical="center"/>
    </xf>
    <xf numFmtId="16" fontId="0" fillId="0" borderId="0" xfId="0" applyNumberFormat="1" applyFill="1"/>
    <xf numFmtId="0" fontId="1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7" fillId="6" borderId="8" xfId="0" applyFont="1" applyFill="1" applyBorder="1" applyAlignment="1">
      <alignment horizontal="left"/>
    </xf>
    <xf numFmtId="14" fontId="17" fillId="6" borderId="9" xfId="0" applyNumberFormat="1" applyFont="1" applyFill="1" applyBorder="1" applyAlignment="1">
      <alignment horizontal="left"/>
    </xf>
    <xf numFmtId="3" fontId="17" fillId="6" borderId="9" xfId="0" applyNumberFormat="1" applyFont="1" applyFill="1" applyBorder="1" applyAlignment="1">
      <alignment horizontal="right"/>
    </xf>
    <xf numFmtId="3" fontId="14" fillId="6" borderId="9" xfId="0" applyNumberFormat="1" applyFont="1" applyFill="1" applyBorder="1" applyAlignment="1">
      <alignment horizontal="right"/>
    </xf>
    <xf numFmtId="14" fontId="11" fillId="6" borderId="9" xfId="0" applyNumberFormat="1" applyFont="1" applyFill="1" applyBorder="1" applyAlignment="1">
      <alignment horizontal="right"/>
    </xf>
    <xf numFmtId="14" fontId="11" fillId="6" borderId="10" xfId="0" applyNumberFormat="1" applyFont="1" applyFill="1" applyBorder="1" applyAlignment="1">
      <alignment horizontal="right"/>
    </xf>
    <xf numFmtId="164" fontId="20" fillId="6" borderId="9" xfId="0" applyNumberFormat="1" applyFont="1" applyFill="1" applyBorder="1" applyAlignment="1">
      <alignment vertical="center"/>
    </xf>
    <xf numFmtId="173" fontId="0" fillId="0" borderId="0" xfId="6" applyNumberFormat="1" applyFont="1" applyFill="1"/>
    <xf numFmtId="0" fontId="1" fillId="0" borderId="12" xfId="0" applyFont="1" applyFill="1" applyBorder="1" applyAlignment="1">
      <alignment horizontal="center"/>
    </xf>
    <xf numFmtId="0" fontId="5" fillId="2" borderId="0" xfId="0" applyFont="1" applyFill="1"/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3" fontId="0" fillId="6" borderId="6" xfId="0" applyNumberFormat="1" applyFill="1" applyBorder="1"/>
    <xf numFmtId="164" fontId="3" fillId="0" borderId="0" xfId="0" applyNumberFormat="1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9" fontId="48" fillId="0" borderId="0" xfId="6" applyFont="1" applyFill="1" applyBorder="1"/>
    <xf numFmtId="164" fontId="48" fillId="0" borderId="0" xfId="0" applyNumberFormat="1" applyFont="1" applyFill="1" applyBorder="1"/>
    <xf numFmtId="3" fontId="0" fillId="6" borderId="9" xfId="0" applyNumberFormat="1" applyFill="1" applyBorder="1"/>
    <xf numFmtId="0" fontId="1" fillId="0" borderId="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left"/>
    </xf>
    <xf numFmtId="14" fontId="17" fillId="6" borderId="3" xfId="0" applyNumberFormat="1" applyFont="1" applyFill="1" applyBorder="1" applyAlignment="1">
      <alignment horizontal="left"/>
    </xf>
    <xf numFmtId="3" fontId="17" fillId="6" borderId="3" xfId="0" applyNumberFormat="1" applyFont="1" applyFill="1" applyBorder="1" applyAlignment="1">
      <alignment horizontal="right"/>
    </xf>
    <xf numFmtId="3" fontId="14" fillId="6" borderId="3" xfId="0" applyNumberFormat="1" applyFont="1" applyFill="1" applyBorder="1" applyAlignment="1">
      <alignment horizontal="right"/>
    </xf>
    <xf numFmtId="14" fontId="17" fillId="6" borderId="3" xfId="0" applyNumberFormat="1" applyFont="1" applyFill="1" applyBorder="1" applyAlignment="1">
      <alignment horizontal="right"/>
    </xf>
    <xf numFmtId="14" fontId="17" fillId="6" borderId="4" xfId="0" applyNumberFormat="1" applyFont="1" applyFill="1" applyBorder="1" applyAlignment="1">
      <alignment horizontal="right"/>
    </xf>
    <xf numFmtId="14" fontId="17" fillId="6" borderId="9" xfId="0" applyNumberFormat="1" applyFont="1" applyFill="1" applyBorder="1" applyAlignment="1">
      <alignment horizontal="right"/>
    </xf>
    <xf numFmtId="14" fontId="17" fillId="6" borderId="10" xfId="0" applyNumberFormat="1" applyFont="1" applyFill="1" applyBorder="1" applyAlignment="1">
      <alignment horizontal="right"/>
    </xf>
    <xf numFmtId="4" fontId="5" fillId="0" borderId="0" xfId="0" applyNumberFormat="1" applyFont="1" applyFill="1"/>
    <xf numFmtId="0" fontId="31" fillId="0" borderId="28" xfId="0" applyFont="1" applyBorder="1"/>
    <xf numFmtId="0" fontId="31" fillId="0" borderId="5" xfId="0" applyFont="1" applyBorder="1"/>
    <xf numFmtId="14" fontId="31" fillId="0" borderId="6" xfId="0" applyNumberFormat="1" applyFont="1" applyBorder="1"/>
    <xf numFmtId="0" fontId="31" fillId="0" borderId="6" xfId="0" applyFont="1" applyBorder="1"/>
    <xf numFmtId="4" fontId="31" fillId="0" borderId="6" xfId="0" applyNumberFormat="1" applyFont="1" applyBorder="1"/>
    <xf numFmtId="164" fontId="31" fillId="0" borderId="6" xfId="0" applyNumberFormat="1" applyFont="1" applyBorder="1"/>
    <xf numFmtId="14" fontId="31" fillId="0" borderId="7" xfId="0" applyNumberFormat="1" applyFont="1" applyBorder="1"/>
    <xf numFmtId="164" fontId="31" fillId="0" borderId="5" xfId="0" applyNumberFormat="1" applyFont="1" applyBorder="1"/>
    <xf numFmtId="4" fontId="31" fillId="0" borderId="5" xfId="0" applyNumberFormat="1" applyFont="1" applyBorder="1"/>
    <xf numFmtId="4" fontId="31" fillId="0" borderId="28" xfId="0" applyNumberFormat="1" applyFont="1" applyBorder="1"/>
    <xf numFmtId="43" fontId="24" fillId="0" borderId="0" xfId="4" applyFont="1"/>
    <xf numFmtId="0" fontId="24" fillId="0" borderId="27" xfId="0" applyFont="1" applyBorder="1"/>
    <xf numFmtId="0" fontId="24" fillId="0" borderId="8" xfId="0" applyFont="1" applyBorder="1"/>
    <xf numFmtId="14" fontId="24" fillId="0" borderId="9" xfId="0" applyNumberFormat="1" applyFont="1" applyBorder="1"/>
    <xf numFmtId="0" fontId="24" fillId="0" borderId="9" xfId="0" applyFont="1" applyBorder="1"/>
    <xf numFmtId="4" fontId="24" fillId="0" borderId="9" xfId="0" applyNumberFormat="1" applyFont="1" applyBorder="1"/>
    <xf numFmtId="164" fontId="24" fillId="0" borderId="9" xfId="0" applyNumberFormat="1" applyFont="1" applyBorder="1"/>
    <xf numFmtId="14" fontId="24" fillId="0" borderId="10" xfId="0" applyNumberFormat="1" applyFont="1" applyBorder="1"/>
    <xf numFmtId="164" fontId="24" fillId="0" borderId="8" xfId="0" applyNumberFormat="1" applyFont="1" applyBorder="1"/>
    <xf numFmtId="4" fontId="24" fillId="0" borderId="8" xfId="0" applyNumberFormat="1" applyFont="1" applyBorder="1"/>
    <xf numFmtId="0" fontId="24" fillId="0" borderId="10" xfId="0" applyFont="1" applyBorder="1"/>
    <xf numFmtId="4" fontId="24" fillId="0" borderId="27" xfId="0" applyNumberFormat="1" applyFont="1" applyBorder="1"/>
    <xf numFmtId="0" fontId="24" fillId="0" borderId="20" xfId="0" applyFont="1" applyBorder="1"/>
    <xf numFmtId="14" fontId="24" fillId="0" borderId="20" xfId="0" applyNumberFormat="1" applyFont="1" applyBorder="1"/>
    <xf numFmtId="4" fontId="24" fillId="0" borderId="20" xfId="0" applyNumberFormat="1" applyFont="1" applyBorder="1"/>
    <xf numFmtId="164" fontId="24" fillId="0" borderId="20" xfId="0" applyNumberFormat="1" applyFont="1" applyBorder="1"/>
    <xf numFmtId="4" fontId="23" fillId="0" borderId="20" xfId="0" applyNumberFormat="1" applyFont="1" applyBorder="1"/>
    <xf numFmtId="0" fontId="31" fillId="0" borderId="0" xfId="0" applyFont="1" applyBorder="1"/>
    <xf numFmtId="0" fontId="24" fillId="0" borderId="0" xfId="0" applyFont="1" applyBorder="1"/>
    <xf numFmtId="0" fontId="25" fillId="2" borderId="29" xfId="0" applyFont="1" applyFill="1" applyBorder="1" applyAlignment="1">
      <alignment vertical="center"/>
    </xf>
    <xf numFmtId="0" fontId="25" fillId="2" borderId="2" xfId="0" applyFont="1" applyFill="1" applyBorder="1" applyAlignment="1">
      <alignment horizontal="center"/>
    </xf>
    <xf numFmtId="14" fontId="25" fillId="2" borderId="3" xfId="0" applyNumberFormat="1" applyFont="1" applyFill="1" applyBorder="1" applyAlignment="1">
      <alignment horizontal="center"/>
    </xf>
    <xf numFmtId="0" fontId="25" fillId="2" borderId="3" xfId="0" applyFont="1" applyFill="1" applyBorder="1"/>
    <xf numFmtId="4" fontId="25" fillId="2" borderId="3" xfId="0" applyNumberFormat="1" applyFont="1" applyFill="1" applyBorder="1" applyAlignment="1">
      <alignment horizontal="center"/>
    </xf>
    <xf numFmtId="164" fontId="25" fillId="2" borderId="3" xfId="0" applyNumberFormat="1" applyFont="1" applyFill="1" applyBorder="1" applyAlignment="1">
      <alignment horizontal="center"/>
    </xf>
    <xf numFmtId="14" fontId="25" fillId="2" borderId="4" xfId="0" applyNumberFormat="1" applyFont="1" applyFill="1" applyBorder="1" applyAlignment="1">
      <alignment horizontal="center"/>
    </xf>
    <xf numFmtId="164" fontId="25" fillId="2" borderId="2" xfId="0" applyNumberFormat="1" applyFont="1" applyFill="1" applyBorder="1" applyAlignment="1">
      <alignment horizontal="center"/>
    </xf>
    <xf numFmtId="4" fontId="25" fillId="2" borderId="2" xfId="0" applyNumberFormat="1" applyFont="1" applyFill="1" applyBorder="1" applyAlignment="1">
      <alignment horizontal="center"/>
    </xf>
    <xf numFmtId="14" fontId="25" fillId="2" borderId="4" xfId="0" applyNumberFormat="1" applyFont="1" applyFill="1" applyBorder="1" applyAlignment="1">
      <alignment vertical="center"/>
    </xf>
    <xf numFmtId="4" fontId="25" fillId="2" borderId="29" xfId="0" applyNumberFormat="1" applyFont="1" applyFill="1" applyBorder="1"/>
    <xf numFmtId="164" fontId="24" fillId="0" borderId="0" xfId="0" applyNumberFormat="1" applyFont="1"/>
    <xf numFmtId="14" fontId="24" fillId="0" borderId="0" xfId="0" applyNumberFormat="1" applyFont="1"/>
    <xf numFmtId="4" fontId="23" fillId="0" borderId="27" xfId="0" applyNumberFormat="1" applyFont="1" applyBorder="1"/>
    <xf numFmtId="0" fontId="23" fillId="0" borderId="29" xfId="0" applyFont="1" applyBorder="1"/>
    <xf numFmtId="0" fontId="23" fillId="0" borderId="2" xfId="0" applyFont="1" applyBorder="1"/>
    <xf numFmtId="14" fontId="23" fillId="0" borderId="3" xfId="0" applyNumberFormat="1" applyFont="1" applyBorder="1"/>
    <xf numFmtId="0" fontId="23" fillId="0" borderId="3" xfId="0" applyFont="1" applyBorder="1"/>
    <xf numFmtId="4" fontId="23" fillId="0" borderId="3" xfId="0" applyNumberFormat="1" applyFont="1" applyBorder="1"/>
    <xf numFmtId="164" fontId="25" fillId="0" borderId="3" xfId="0" applyNumberFormat="1" applyFont="1" applyBorder="1"/>
    <xf numFmtId="14" fontId="23" fillId="0" borderId="4" xfId="0" applyNumberFormat="1" applyFont="1" applyBorder="1"/>
    <xf numFmtId="164" fontId="23" fillId="0" borderId="2" xfId="0" applyNumberFormat="1" applyFont="1" applyBorder="1"/>
    <xf numFmtId="4" fontId="23" fillId="0" borderId="2" xfId="0" applyNumberFormat="1" applyFont="1" applyBorder="1"/>
    <xf numFmtId="4" fontId="23" fillId="0" borderId="29" xfId="0" applyNumberFormat="1" applyFont="1" applyBorder="1"/>
    <xf numFmtId="164" fontId="23" fillId="0" borderId="3" xfId="0" applyNumberFormat="1" applyFont="1" applyBorder="1"/>
    <xf numFmtId="0" fontId="23" fillId="0" borderId="4" xfId="0" applyFont="1" applyBorder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9" fillId="0" borderId="12" xfId="0" applyFont="1" applyFill="1" applyBorder="1" applyAlignment="1">
      <alignment horizontal="center"/>
    </xf>
    <xf numFmtId="3" fontId="2" fillId="0" borderId="3" xfId="0" applyNumberFormat="1" applyFont="1" applyFill="1" applyBorder="1" applyAlignment="1">
      <alignment vertical="center"/>
    </xf>
    <xf numFmtId="3" fontId="2" fillId="0" borderId="6" xfId="0" applyNumberFormat="1" applyFont="1" applyFill="1" applyBorder="1" applyAlignment="1">
      <alignment vertical="center"/>
    </xf>
    <xf numFmtId="3" fontId="2" fillId="0" borderId="9" xfId="0" applyNumberFormat="1" applyFont="1" applyFill="1" applyBorder="1" applyAlignment="1">
      <alignment vertical="center"/>
    </xf>
    <xf numFmtId="3" fontId="19" fillId="0" borderId="0" xfId="0" applyNumberFormat="1" applyFont="1" applyFill="1"/>
    <xf numFmtId="164" fontId="2" fillId="0" borderId="3" xfId="0" applyNumberFormat="1" applyFont="1" applyFill="1" applyBorder="1" applyAlignment="1">
      <alignment vertical="center"/>
    </xf>
    <xf numFmtId="164" fontId="2" fillId="0" borderId="6" xfId="0" applyNumberFormat="1" applyFont="1" applyFill="1" applyBorder="1" applyAlignment="1">
      <alignment vertical="center"/>
    </xf>
    <xf numFmtId="164" fontId="2" fillId="0" borderId="9" xfId="0" applyNumberFormat="1" applyFont="1" applyFill="1" applyBorder="1" applyAlignment="1">
      <alignment vertical="center"/>
    </xf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64" fontId="0" fillId="0" borderId="13" xfId="0" applyNumberFormat="1" applyBorder="1"/>
    <xf numFmtId="14" fontId="46" fillId="0" borderId="0" xfId="0" applyNumberFormat="1" applyFont="1"/>
    <xf numFmtId="164" fontId="46" fillId="0" borderId="1" xfId="0" applyNumberFormat="1" applyFont="1" applyBorder="1"/>
    <xf numFmtId="0" fontId="32" fillId="0" borderId="28" xfId="0" applyFont="1" applyBorder="1"/>
    <xf numFmtId="0" fontId="32" fillId="0" borderId="5" xfId="0" applyFont="1" applyBorder="1"/>
    <xf numFmtId="14" fontId="32" fillId="0" borderId="6" xfId="0" applyNumberFormat="1" applyFont="1" applyBorder="1"/>
    <xf numFmtId="0" fontId="32" fillId="0" borderId="6" xfId="0" applyFont="1" applyBorder="1"/>
    <xf numFmtId="4" fontId="32" fillId="0" borderId="6" xfId="0" applyNumberFormat="1" applyFont="1" applyBorder="1"/>
    <xf numFmtId="164" fontId="32" fillId="0" borderId="6" xfId="0" applyNumberFormat="1" applyFont="1" applyBorder="1"/>
    <xf numFmtId="14" fontId="32" fillId="0" borderId="7" xfId="0" applyNumberFormat="1" applyFont="1" applyBorder="1"/>
    <xf numFmtId="164" fontId="32" fillId="0" borderId="5" xfId="0" applyNumberFormat="1" applyFont="1" applyBorder="1"/>
    <xf numFmtId="4" fontId="32" fillId="0" borderId="5" xfId="0" applyNumberFormat="1" applyFont="1" applyBorder="1"/>
    <xf numFmtId="0" fontId="32" fillId="0" borderId="7" xfId="0" applyFont="1" applyBorder="1"/>
    <xf numFmtId="4" fontId="32" fillId="0" borderId="28" xfId="0" applyNumberFormat="1" applyFont="1" applyBorder="1"/>
    <xf numFmtId="14" fontId="31" fillId="0" borderId="5" xfId="0" applyNumberFormat="1" applyFont="1" applyBorder="1"/>
    <xf numFmtId="0" fontId="37" fillId="0" borderId="24" xfId="0" applyFont="1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168" fontId="0" fillId="0" borderId="1" xfId="0" applyNumberFormat="1" applyFill="1" applyBorder="1" applyAlignment="1">
      <alignment horizontal="right" wrapText="1"/>
    </xf>
    <xf numFmtId="0" fontId="3" fillId="0" borderId="0" xfId="0" applyFont="1" applyFill="1"/>
    <xf numFmtId="164" fontId="0" fillId="2" borderId="0" xfId="0" applyNumberFormat="1" applyFill="1"/>
    <xf numFmtId="164" fontId="18" fillId="0" borderId="22" xfId="0" applyNumberFormat="1" applyFont="1" applyFill="1" applyBorder="1"/>
    <xf numFmtId="4" fontId="18" fillId="0" borderId="42" xfId="0" applyNumberFormat="1" applyFont="1" applyFill="1" applyBorder="1"/>
    <xf numFmtId="164" fontId="18" fillId="0" borderId="25" xfId="0" applyNumberFormat="1" applyFont="1" applyFill="1" applyBorder="1"/>
    <xf numFmtId="0" fontId="18" fillId="0" borderId="43" xfId="0" applyFont="1" applyFill="1" applyBorder="1"/>
    <xf numFmtId="164" fontId="18" fillId="0" borderId="43" xfId="0" applyNumberFormat="1" applyFont="1" applyFill="1" applyBorder="1"/>
    <xf numFmtId="9" fontId="20" fillId="0" borderId="37" xfId="6" applyFont="1" applyFill="1" applyBorder="1"/>
    <xf numFmtId="164" fontId="20" fillId="0" borderId="38" xfId="0" applyNumberFormat="1" applyFont="1" applyFill="1" applyBorder="1"/>
    <xf numFmtId="0" fontId="23" fillId="0" borderId="5" xfId="0" applyFont="1" applyBorder="1"/>
    <xf numFmtId="0" fontId="23" fillId="0" borderId="6" xfId="0" applyFont="1" applyBorder="1"/>
    <xf numFmtId="4" fontId="23" fillId="0" borderId="6" xfId="0" applyNumberFormat="1" applyFont="1" applyBorder="1"/>
    <xf numFmtId="164" fontId="23" fillId="0" borderId="6" xfId="0" applyNumberFormat="1" applyFont="1" applyBorder="1"/>
    <xf numFmtId="43" fontId="23" fillId="0" borderId="10" xfId="4" applyFont="1" applyBorder="1"/>
    <xf numFmtId="164" fontId="23" fillId="0" borderId="5" xfId="0" applyNumberFormat="1" applyFont="1" applyBorder="1"/>
    <xf numFmtId="0" fontId="23" fillId="0" borderId="7" xfId="0" applyFont="1" applyBorder="1"/>
    <xf numFmtId="4" fontId="23" fillId="0" borderId="5" xfId="0" applyNumberFormat="1" applyFont="1" applyBorder="1"/>
    <xf numFmtId="14" fontId="23" fillId="0" borderId="6" xfId="0" applyNumberFormat="1" applyFont="1" applyBorder="1"/>
    <xf numFmtId="14" fontId="23" fillId="0" borderId="7" xfId="0" applyNumberFormat="1" applyFont="1" applyBorder="1"/>
    <xf numFmtId="4" fontId="23" fillId="0" borderId="28" xfId="0" applyNumberFormat="1" applyFont="1" applyBorder="1"/>
    <xf numFmtId="14" fontId="23" fillId="0" borderId="7" xfId="4" applyNumberFormat="1" applyFont="1" applyBorder="1"/>
    <xf numFmtId="0" fontId="26" fillId="0" borderId="0" xfId="0" applyFont="1"/>
    <xf numFmtId="43" fontId="26" fillId="0" borderId="0" xfId="4" applyFont="1"/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" fontId="24" fillId="0" borderId="0" xfId="0" applyNumberFormat="1" applyFont="1"/>
    <xf numFmtId="164" fontId="26" fillId="6" borderId="6" xfId="0" applyNumberFormat="1" applyFont="1" applyFill="1" applyBorder="1"/>
    <xf numFmtId="14" fontId="24" fillId="0" borderId="7" xfId="4" applyNumberFormat="1" applyFont="1" applyBorder="1"/>
    <xf numFmtId="0" fontId="49" fillId="3" borderId="11" xfId="0" applyFont="1" applyFill="1" applyBorder="1" applyAlignment="1">
      <alignment horizontal="center"/>
    </xf>
    <xf numFmtId="0" fontId="49" fillId="3" borderId="12" xfId="0" applyFont="1" applyFill="1" applyBorder="1" applyAlignment="1">
      <alignment horizontal="center"/>
    </xf>
    <xf numFmtId="0" fontId="49" fillId="3" borderId="13" xfId="0" applyFont="1" applyFill="1" applyBorder="1" applyAlignment="1">
      <alignment horizontal="center"/>
    </xf>
    <xf numFmtId="0" fontId="5" fillId="0" borderId="44" xfId="0" applyFont="1" applyFill="1" applyBorder="1"/>
    <xf numFmtId="0" fontId="5" fillId="0" borderId="45" xfId="0" applyFont="1" applyFill="1" applyBorder="1"/>
    <xf numFmtId="4" fontId="5" fillId="0" borderId="45" xfId="0" applyNumberFormat="1" applyFont="1" applyFill="1" applyBorder="1"/>
    <xf numFmtId="14" fontId="5" fillId="0" borderId="45" xfId="0" applyNumberFormat="1" applyFont="1" applyFill="1" applyBorder="1"/>
    <xf numFmtId="14" fontId="5" fillId="0" borderId="40" xfId="0" applyNumberFormat="1" applyFont="1" applyFill="1" applyBorder="1" applyAlignment="1">
      <alignment horizontal="right"/>
    </xf>
    <xf numFmtId="14" fontId="5" fillId="0" borderId="14" xfId="0" applyNumberFormat="1" applyFont="1" applyFill="1" applyBorder="1" applyAlignment="1">
      <alignment horizontal="right"/>
    </xf>
    <xf numFmtId="0" fontId="5" fillId="0" borderId="36" xfId="0" applyFont="1" applyFill="1" applyBorder="1"/>
    <xf numFmtId="0" fontId="5" fillId="0" borderId="35" xfId="0" applyFont="1" applyFill="1" applyBorder="1"/>
    <xf numFmtId="4" fontId="5" fillId="0" borderId="35" xfId="0" applyNumberFormat="1" applyFont="1" applyFill="1" applyBorder="1"/>
    <xf numFmtId="14" fontId="18" fillId="0" borderId="20" xfId="0" applyNumberFormat="1" applyFont="1" applyBorder="1"/>
    <xf numFmtId="14" fontId="5" fillId="0" borderId="34" xfId="0" applyNumberFormat="1" applyFont="1" applyFill="1" applyBorder="1" applyAlignment="1">
      <alignment horizontal="right"/>
    </xf>
    <xf numFmtId="0" fontId="18" fillId="0" borderId="0" xfId="0" applyFont="1"/>
    <xf numFmtId="4" fontId="18" fillId="0" borderId="32" xfId="0" applyNumberFormat="1" applyFont="1" applyBorder="1"/>
    <xf numFmtId="0" fontId="18" fillId="0" borderId="24" xfId="0" applyFont="1" applyBorder="1"/>
    <xf numFmtId="4" fontId="18" fillId="0" borderId="1" xfId="0" applyNumberFormat="1" applyFont="1" applyBorder="1"/>
    <xf numFmtId="0" fontId="24" fillId="0" borderId="46" xfId="0" applyFont="1" applyBorder="1"/>
    <xf numFmtId="0" fontId="24" fillId="0" borderId="16" xfId="0" applyFont="1" applyBorder="1"/>
    <xf numFmtId="14" fontId="24" fillId="0" borderId="15" xfId="0" applyNumberFormat="1" applyFont="1" applyBorder="1"/>
    <xf numFmtId="0" fontId="24" fillId="0" borderId="15" xfId="0" applyFont="1" applyBorder="1"/>
    <xf numFmtId="4" fontId="24" fillId="0" borderId="15" xfId="0" applyNumberFormat="1" applyFont="1" applyBorder="1"/>
    <xf numFmtId="164" fontId="24" fillId="0" borderId="15" xfId="0" applyNumberFormat="1" applyFont="1" applyBorder="1"/>
    <xf numFmtId="14" fontId="24" fillId="0" borderId="14" xfId="4" applyNumberFormat="1" applyFont="1" applyBorder="1"/>
    <xf numFmtId="164" fontId="24" fillId="0" borderId="16" xfId="0" applyNumberFormat="1" applyFont="1" applyBorder="1"/>
    <xf numFmtId="0" fontId="24" fillId="0" borderId="14" xfId="0" applyFont="1" applyBorder="1"/>
    <xf numFmtId="4" fontId="24" fillId="0" borderId="16" xfId="0" applyNumberFormat="1" applyFont="1" applyBorder="1"/>
    <xf numFmtId="4" fontId="24" fillId="0" borderId="46" xfId="0" applyNumberFormat="1" applyFont="1" applyBorder="1"/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23" fillId="0" borderId="46" xfId="0" applyFont="1" applyBorder="1"/>
    <xf numFmtId="0" fontId="23" fillId="0" borderId="16" xfId="0" applyFont="1" applyBorder="1"/>
    <xf numFmtId="14" fontId="23" fillId="0" borderId="15" xfId="0" applyNumberFormat="1" applyFont="1" applyBorder="1"/>
    <xf numFmtId="0" fontId="23" fillId="0" borderId="15" xfId="0" applyFont="1" applyBorder="1"/>
    <xf numFmtId="4" fontId="23" fillId="0" borderId="15" xfId="0" applyNumberFormat="1" applyFont="1" applyBorder="1"/>
    <xf numFmtId="164" fontId="23" fillId="0" borderId="15" xfId="0" applyNumberFormat="1" applyFont="1" applyBorder="1"/>
    <xf numFmtId="14" fontId="23" fillId="0" borderId="14" xfId="4" applyNumberFormat="1" applyFont="1" applyBorder="1"/>
    <xf numFmtId="164" fontId="23" fillId="0" borderId="16" xfId="0" applyNumberFormat="1" applyFont="1" applyBorder="1"/>
    <xf numFmtId="0" fontId="23" fillId="0" borderId="14" xfId="0" applyFont="1" applyBorder="1"/>
    <xf numFmtId="4" fontId="23" fillId="0" borderId="16" xfId="0" applyNumberFormat="1" applyFont="1" applyBorder="1"/>
    <xf numFmtId="4" fontId="23" fillId="0" borderId="46" xfId="0" applyNumberFormat="1" applyFont="1" applyBorder="1"/>
    <xf numFmtId="0" fontId="24" fillId="6" borderId="28" xfId="0" applyFont="1" applyFill="1" applyBorder="1"/>
    <xf numFmtId="0" fontId="24" fillId="6" borderId="5" xfId="0" applyFont="1" applyFill="1" applyBorder="1"/>
    <xf numFmtId="14" fontId="24" fillId="6" borderId="6" xfId="0" applyNumberFormat="1" applyFont="1" applyFill="1" applyBorder="1"/>
    <xf numFmtId="0" fontId="24" fillId="6" borderId="6" xfId="0" applyFont="1" applyFill="1" applyBorder="1"/>
    <xf numFmtId="4" fontId="24" fillId="6" borderId="6" xfId="0" applyNumberFormat="1" applyFont="1" applyFill="1" applyBorder="1"/>
    <xf numFmtId="14" fontId="24" fillId="6" borderId="7" xfId="0" applyNumberFormat="1" applyFont="1" applyFill="1" applyBorder="1"/>
    <xf numFmtId="4" fontId="24" fillId="6" borderId="5" xfId="0" applyNumberFormat="1" applyFont="1" applyFill="1" applyBorder="1"/>
    <xf numFmtId="4" fontId="24" fillId="6" borderId="28" xfId="0" applyNumberFormat="1" applyFont="1" applyFill="1" applyBorder="1"/>
    <xf numFmtId="14" fontId="31" fillId="6" borderId="6" xfId="0" applyNumberFormat="1" applyFont="1" applyFill="1" applyBorder="1"/>
    <xf numFmtId="0" fontId="31" fillId="0" borderId="7" xfId="0" applyFont="1" applyBorder="1"/>
    <xf numFmtId="0" fontId="31" fillId="0" borderId="27" xfId="0" applyFont="1" applyBorder="1"/>
    <xf numFmtId="0" fontId="31" fillId="0" borderId="8" xfId="0" applyFont="1" applyBorder="1"/>
    <xf numFmtId="14" fontId="31" fillId="0" borderId="9" xfId="0" applyNumberFormat="1" applyFont="1" applyBorder="1"/>
    <xf numFmtId="0" fontId="31" fillId="0" borderId="9" xfId="0" applyFont="1" applyBorder="1"/>
    <xf numFmtId="4" fontId="31" fillId="0" borderId="9" xfId="0" applyNumberFormat="1" applyFont="1" applyBorder="1"/>
    <xf numFmtId="164" fontId="31" fillId="0" borderId="9" xfId="0" applyNumberFormat="1" applyFont="1" applyBorder="1"/>
    <xf numFmtId="14" fontId="31" fillId="0" borderId="10" xfId="0" applyNumberFormat="1" applyFont="1" applyBorder="1"/>
    <xf numFmtId="164" fontId="31" fillId="0" borderId="8" xfId="0" applyNumberFormat="1" applyFont="1" applyBorder="1"/>
    <xf numFmtId="4" fontId="31" fillId="0" borderId="8" xfId="0" applyNumberFormat="1" applyFont="1" applyBorder="1"/>
    <xf numFmtId="0" fontId="31" fillId="0" borderId="10" xfId="0" applyFont="1" applyBorder="1"/>
    <xf numFmtId="4" fontId="31" fillId="0" borderId="27" xfId="0" applyNumberFormat="1" applyFont="1" applyBorder="1"/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3" fontId="1" fillId="0" borderId="6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64" fontId="1" fillId="0" borderId="6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3" fontId="1" fillId="0" borderId="12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4" fontId="32" fillId="0" borderId="47" xfId="0" applyNumberFormat="1" applyFont="1" applyBorder="1"/>
    <xf numFmtId="0" fontId="32" fillId="0" borderId="41" xfId="0" applyFont="1" applyBorder="1"/>
    <xf numFmtId="4" fontId="26" fillId="3" borderId="8" xfId="0" applyNumberFormat="1" applyFont="1" applyFill="1" applyBorder="1" applyAlignment="1">
      <alignment horizontal="center"/>
    </xf>
    <xf numFmtId="165" fontId="26" fillId="3" borderId="10" xfId="0" applyNumberFormat="1" applyFont="1" applyFill="1" applyBorder="1" applyAlignment="1">
      <alignment horizontal="center"/>
    </xf>
    <xf numFmtId="164" fontId="32" fillId="0" borderId="47" xfId="0" applyNumberFormat="1" applyFont="1" applyBorder="1"/>
    <xf numFmtId="14" fontId="32" fillId="0" borderId="48" xfId="0" applyNumberFormat="1" applyFont="1" applyBorder="1"/>
    <xf numFmtId="14" fontId="32" fillId="0" borderId="41" xfId="0" applyNumberFormat="1" applyFont="1" applyBorder="1"/>
    <xf numFmtId="164" fontId="26" fillId="3" borderId="8" xfId="0" applyNumberFormat="1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  <xf numFmtId="0" fontId="26" fillId="3" borderId="8" xfId="0" applyFont="1" applyFill="1" applyBorder="1" applyAlignment="1">
      <alignment horizontal="center"/>
    </xf>
    <xf numFmtId="4" fontId="26" fillId="3" borderId="9" xfId="0" applyNumberFormat="1" applyFont="1" applyFill="1" applyBorder="1" applyAlignment="1">
      <alignment horizontal="center"/>
    </xf>
    <xf numFmtId="164" fontId="26" fillId="3" borderId="9" xfId="0" applyNumberFormat="1" applyFont="1" applyFill="1" applyBorder="1" applyAlignment="1">
      <alignment horizontal="center"/>
    </xf>
    <xf numFmtId="0" fontId="32" fillId="0" borderId="49" xfId="0" applyFont="1" applyBorder="1"/>
    <xf numFmtId="4" fontId="32" fillId="0" borderId="49" xfId="0" applyNumberFormat="1" applyFont="1" applyBorder="1"/>
    <xf numFmtId="14" fontId="26" fillId="3" borderId="10" xfId="0" applyNumberFormat="1" applyFont="1" applyFill="1" applyBorder="1" applyAlignment="1">
      <alignment horizontal="center"/>
    </xf>
    <xf numFmtId="164" fontId="26" fillId="6" borderId="5" xfId="0" applyNumberFormat="1" applyFont="1" applyFill="1" applyBorder="1"/>
    <xf numFmtId="164" fontId="25" fillId="0" borderId="5" xfId="0" applyNumberFormat="1" applyFont="1" applyBorder="1"/>
    <xf numFmtId="0" fontId="5" fillId="6" borderId="0" xfId="0" applyFont="1" applyFill="1"/>
    <xf numFmtId="14" fontId="50" fillId="0" borderId="0" xfId="0" applyNumberFormat="1" applyFont="1" applyFill="1"/>
    <xf numFmtId="0" fontId="50" fillId="0" borderId="0" xfId="0" applyFont="1"/>
    <xf numFmtId="14" fontId="50" fillId="0" borderId="0" xfId="0" applyNumberFormat="1" applyFont="1"/>
    <xf numFmtId="0" fontId="51" fillId="3" borderId="11" xfId="0" applyFont="1" applyFill="1" applyBorder="1" applyAlignment="1">
      <alignment horizontal="center"/>
    </xf>
    <xf numFmtId="0" fontId="51" fillId="3" borderId="12" xfId="0" applyFont="1" applyFill="1" applyBorder="1" applyAlignment="1">
      <alignment horizontal="center"/>
    </xf>
    <xf numFmtId="0" fontId="51" fillId="3" borderId="13" xfId="0" applyFont="1" applyFill="1" applyBorder="1" applyAlignment="1">
      <alignment horizontal="center"/>
    </xf>
    <xf numFmtId="0" fontId="50" fillId="0" borderId="5" xfId="0" applyFont="1" applyFill="1" applyBorder="1"/>
    <xf numFmtId="0" fontId="50" fillId="0" borderId="6" xfId="0" applyFont="1" applyFill="1" applyBorder="1"/>
    <xf numFmtId="4" fontId="50" fillId="0" borderId="6" xfId="0" applyNumberFormat="1" applyFont="1" applyFill="1" applyBorder="1"/>
    <xf numFmtId="14" fontId="50" fillId="0" borderId="7" xfId="0" applyNumberFormat="1" applyFont="1" applyFill="1" applyBorder="1" applyAlignment="1">
      <alignment horizontal="right"/>
    </xf>
    <xf numFmtId="0" fontId="50" fillId="0" borderId="8" xfId="0" applyFont="1" applyFill="1" applyBorder="1"/>
    <xf numFmtId="0" fontId="50" fillId="0" borderId="9" xfId="0" applyFont="1" applyFill="1" applyBorder="1"/>
    <xf numFmtId="4" fontId="50" fillId="0" borderId="9" xfId="0" applyNumberFormat="1" applyFont="1" applyFill="1" applyBorder="1"/>
    <xf numFmtId="14" fontId="50" fillId="0" borderId="10" xfId="0" applyNumberFormat="1" applyFont="1" applyFill="1" applyBorder="1" applyAlignment="1">
      <alignment horizontal="right"/>
    </xf>
    <xf numFmtId="14" fontId="50" fillId="0" borderId="6" xfId="0" applyNumberFormat="1" applyFont="1" applyFill="1" applyBorder="1"/>
    <xf numFmtId="14" fontId="50" fillId="0" borderId="9" xfId="0" applyNumberFormat="1" applyFont="1" applyFill="1" applyBorder="1"/>
    <xf numFmtId="0" fontId="51" fillId="0" borderId="0" xfId="0" applyFont="1"/>
    <xf numFmtId="4" fontId="51" fillId="0" borderId="13" xfId="0" applyNumberFormat="1" applyFont="1" applyFill="1" applyBorder="1"/>
    <xf numFmtId="4" fontId="51" fillId="0" borderId="17" xfId="0" applyNumberFormat="1" applyFont="1" applyFill="1" applyBorder="1"/>
    <xf numFmtId="4" fontId="51" fillId="0" borderId="24" xfId="0" applyNumberFormat="1" applyFont="1" applyFill="1" applyBorder="1"/>
    <xf numFmtId="14" fontId="51" fillId="0" borderId="23" xfId="0" applyNumberFormat="1" applyFont="1" applyFill="1" applyBorder="1" applyAlignment="1">
      <alignment horizontal="right"/>
    </xf>
    <xf numFmtId="4" fontId="51" fillId="0" borderId="22" xfId="0" applyNumberFormat="1" applyFont="1" applyFill="1" applyBorder="1"/>
    <xf numFmtId="14" fontId="51" fillId="0" borderId="21" xfId="0" applyNumberFormat="1" applyFont="1" applyFill="1" applyBorder="1" applyAlignment="1">
      <alignment horizontal="right"/>
    </xf>
    <xf numFmtId="0" fontId="50" fillId="6" borderId="2" xfId="0" applyFont="1" applyFill="1" applyBorder="1"/>
    <xf numFmtId="0" fontId="50" fillId="6" borderId="3" xfId="0" applyFont="1" applyFill="1" applyBorder="1"/>
    <xf numFmtId="4" fontId="50" fillId="6" borderId="3" xfId="0" applyNumberFormat="1" applyFont="1" applyFill="1" applyBorder="1"/>
    <xf numFmtId="14" fontId="50" fillId="6" borderId="3" xfId="0" applyNumberFormat="1" applyFont="1" applyFill="1" applyBorder="1"/>
    <xf numFmtId="14" fontId="50" fillId="6" borderId="4" xfId="0" applyNumberFormat="1" applyFont="1" applyFill="1" applyBorder="1" applyAlignment="1">
      <alignment horizontal="right"/>
    </xf>
    <xf numFmtId="0" fontId="50" fillId="6" borderId="5" xfId="0" applyFont="1" applyFill="1" applyBorder="1"/>
    <xf numFmtId="0" fontId="50" fillId="6" borderId="6" xfId="0" applyFont="1" applyFill="1" applyBorder="1"/>
    <xf numFmtId="4" fontId="50" fillId="6" borderId="6" xfId="0" applyNumberFormat="1" applyFont="1" applyFill="1" applyBorder="1"/>
    <xf numFmtId="14" fontId="50" fillId="6" borderId="6" xfId="0" applyNumberFormat="1" applyFont="1" applyFill="1" applyBorder="1"/>
    <xf numFmtId="14" fontId="50" fillId="6" borderId="7" xfId="0" applyNumberFormat="1" applyFont="1" applyFill="1" applyBorder="1" applyAlignment="1">
      <alignment horizontal="right"/>
    </xf>
    <xf numFmtId="14" fontId="50" fillId="6" borderId="3" xfId="0" applyNumberFormat="1" applyFont="1" applyFill="1" applyBorder="1" applyAlignment="1">
      <alignment horizontal="right"/>
    </xf>
    <xf numFmtId="14" fontId="50" fillId="6" borderId="6" xfId="0" applyNumberFormat="1" applyFont="1" applyFill="1" applyBorder="1" applyAlignment="1">
      <alignment horizontal="right"/>
    </xf>
    <xf numFmtId="0" fontId="50" fillId="6" borderId="8" xfId="0" applyFont="1" applyFill="1" applyBorder="1"/>
    <xf numFmtId="0" fontId="50" fillId="6" borderId="9" xfId="0" applyFont="1" applyFill="1" applyBorder="1"/>
    <xf numFmtId="4" fontId="50" fillId="6" borderId="9" xfId="0" applyNumberFormat="1" applyFont="1" applyFill="1" applyBorder="1"/>
    <xf numFmtId="14" fontId="50" fillId="6" borderId="9" xfId="0" applyNumberFormat="1" applyFont="1" applyFill="1" applyBorder="1" applyAlignment="1">
      <alignment horizontal="right"/>
    </xf>
    <xf numFmtId="14" fontId="50" fillId="6" borderId="10" xfId="0" applyNumberFormat="1" applyFont="1" applyFill="1" applyBorder="1" applyAlignment="1">
      <alignment horizontal="right"/>
    </xf>
    <xf numFmtId="0" fontId="50" fillId="6" borderId="11" xfId="0" applyFont="1" applyFill="1" applyBorder="1"/>
    <xf numFmtId="0" fontId="50" fillId="6" borderId="12" xfId="0" applyFont="1" applyFill="1" applyBorder="1"/>
    <xf numFmtId="4" fontId="50" fillId="6" borderId="12" xfId="0" applyNumberFormat="1" applyFont="1" applyFill="1" applyBorder="1"/>
    <xf numFmtId="14" fontId="50" fillId="6" borderId="12" xfId="0" applyNumberFormat="1" applyFont="1" applyFill="1" applyBorder="1" applyAlignment="1">
      <alignment horizontal="right"/>
    </xf>
    <xf numFmtId="14" fontId="50" fillId="6" borderId="13" xfId="0" applyNumberFormat="1" applyFont="1" applyFill="1" applyBorder="1" applyAlignment="1">
      <alignment horizontal="right"/>
    </xf>
    <xf numFmtId="14" fontId="50" fillId="6" borderId="12" xfId="0" applyNumberFormat="1" applyFont="1" applyFill="1" applyBorder="1"/>
    <xf numFmtId="14" fontId="50" fillId="6" borderId="9" xfId="0" applyNumberFormat="1" applyFont="1" applyFill="1" applyBorder="1"/>
    <xf numFmtId="0" fontId="50" fillId="0" borderId="2" xfId="0" applyFont="1" applyBorder="1"/>
    <xf numFmtId="0" fontId="50" fillId="0" borderId="3" xfId="0" applyFont="1" applyBorder="1"/>
    <xf numFmtId="4" fontId="50" fillId="0" borderId="3" xfId="0" applyNumberFormat="1" applyFont="1" applyFill="1" applyBorder="1"/>
    <xf numFmtId="0" fontId="50" fillId="0" borderId="4" xfId="0" applyFont="1" applyBorder="1"/>
    <xf numFmtId="0" fontId="50" fillId="0" borderId="8" xfId="0" applyFont="1" applyBorder="1"/>
    <xf numFmtId="0" fontId="50" fillId="0" borderId="9" xfId="0" applyFont="1" applyBorder="1"/>
    <xf numFmtId="0" fontId="50" fillId="0" borderId="10" xfId="0" applyFont="1" applyBorder="1"/>
    <xf numFmtId="0" fontId="50" fillId="0" borderId="11" xfId="0" applyFont="1" applyBorder="1"/>
    <xf numFmtId="0" fontId="50" fillId="0" borderId="12" xfId="0" applyFont="1" applyBorder="1"/>
    <xf numFmtId="4" fontId="50" fillId="0" borderId="12" xfId="0" applyNumberFormat="1" applyFont="1" applyBorder="1"/>
    <xf numFmtId="0" fontId="50" fillId="0" borderId="13" xfId="0" applyFont="1" applyBorder="1"/>
    <xf numFmtId="4" fontId="50" fillId="0" borderId="3" xfId="0" applyNumberFormat="1" applyFont="1" applyBorder="1"/>
    <xf numFmtId="4" fontId="50" fillId="0" borderId="9" xfId="0" applyNumberFormat="1" applyFont="1" applyBorder="1"/>
    <xf numFmtId="174" fontId="11" fillId="0" borderId="0" xfId="0" applyNumberFormat="1" applyFont="1" applyAlignment="1">
      <alignment horizontal="right"/>
    </xf>
    <xf numFmtId="3" fontId="22" fillId="7" borderId="11" xfId="0" applyNumberFormat="1" applyFont="1" applyFill="1" applyBorder="1" applyAlignment="1">
      <alignment horizontal="center"/>
    </xf>
    <xf numFmtId="3" fontId="22" fillId="7" borderId="13" xfId="0" applyNumberFormat="1" applyFont="1" applyFill="1" applyBorder="1" applyAlignment="1">
      <alignment horizontal="center"/>
    </xf>
    <xf numFmtId="3" fontId="22" fillId="7" borderId="12" xfId="0" applyNumberFormat="1" applyFont="1" applyFill="1" applyBorder="1" applyAlignment="1">
      <alignment horizontal="center"/>
    </xf>
    <xf numFmtId="0" fontId="46" fillId="0" borderId="11" xfId="0" applyFont="1" applyBorder="1" applyAlignment="1">
      <alignment horizontal="center"/>
    </xf>
    <xf numFmtId="0" fontId="46" fillId="0" borderId="12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9" fillId="3" borderId="37" xfId="0" applyFont="1" applyFill="1" applyBorder="1" applyAlignment="1">
      <alignment horizontal="left"/>
    </xf>
    <xf numFmtId="0" fontId="39" fillId="3" borderId="20" xfId="0" applyFont="1" applyFill="1" applyBorder="1" applyAlignment="1">
      <alignment horizontal="left"/>
    </xf>
    <xf numFmtId="0" fontId="39" fillId="3" borderId="38" xfId="0" applyFont="1" applyFill="1" applyBorder="1" applyAlignment="1">
      <alignment horizontal="left"/>
    </xf>
    <xf numFmtId="0" fontId="40" fillId="0" borderId="32" xfId="0" applyFont="1" applyFill="1" applyBorder="1" applyAlignment="1">
      <alignment horizontal="left" vertical="center"/>
    </xf>
    <xf numFmtId="0" fontId="40" fillId="0" borderId="33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42" fillId="10" borderId="0" xfId="0" applyFont="1" applyFill="1" applyAlignment="1">
      <alignment horizontal="left"/>
    </xf>
    <xf numFmtId="0" fontId="7" fillId="0" borderId="20" xfId="0" applyFont="1" applyBorder="1" applyAlignment="1">
      <alignment horizontal="center"/>
    </xf>
    <xf numFmtId="0" fontId="16" fillId="5" borderId="11" xfId="0" applyFont="1" applyFill="1" applyBorder="1" applyAlignment="1">
      <alignment horizontal="left"/>
    </xf>
    <xf numFmtId="0" fontId="16" fillId="5" borderId="12" xfId="0" applyFont="1" applyFill="1" applyBorder="1" applyAlignment="1">
      <alignment horizontal="left"/>
    </xf>
    <xf numFmtId="14" fontId="11" fillId="5" borderId="24" xfId="0" applyNumberFormat="1" applyFont="1" applyFill="1" applyBorder="1" applyAlignment="1">
      <alignment horizontal="right"/>
    </xf>
    <xf numFmtId="14" fontId="11" fillId="5" borderId="23" xfId="0" applyNumberFormat="1" applyFont="1" applyFill="1" applyBorder="1" applyAlignment="1">
      <alignment horizontal="right"/>
    </xf>
    <xf numFmtId="0" fontId="13" fillId="4" borderId="11" xfId="0" applyFont="1" applyFill="1" applyBorder="1" applyAlignment="1">
      <alignment horizontal="right"/>
    </xf>
    <xf numFmtId="0" fontId="13" fillId="4" borderId="12" xfId="0" applyFont="1" applyFill="1" applyBorder="1" applyAlignment="1">
      <alignment horizontal="right"/>
    </xf>
    <xf numFmtId="14" fontId="11" fillId="5" borderId="22" xfId="0" applyNumberFormat="1" applyFont="1" applyFill="1" applyBorder="1" applyAlignment="1">
      <alignment horizontal="right"/>
    </xf>
    <xf numFmtId="14" fontId="11" fillId="5" borderId="21" xfId="0" applyNumberFormat="1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14" fontId="11" fillId="5" borderId="20" xfId="0" applyNumberFormat="1" applyFont="1" applyFill="1" applyBorder="1" applyAlignment="1">
      <alignment horizontal="right"/>
    </xf>
    <xf numFmtId="14" fontId="11" fillId="5" borderId="25" xfId="0" applyNumberFormat="1" applyFont="1" applyFill="1" applyBorder="1" applyAlignment="1">
      <alignment horizontal="right"/>
    </xf>
    <xf numFmtId="14" fontId="11" fillId="5" borderId="0" xfId="0" applyNumberFormat="1" applyFont="1" applyFill="1" applyBorder="1" applyAlignment="1">
      <alignment horizontal="right"/>
    </xf>
    <xf numFmtId="0" fontId="26" fillId="3" borderId="2" xfId="0" applyFont="1" applyFill="1" applyBorder="1" applyAlignment="1">
      <alignment horizontal="center"/>
    </xf>
    <xf numFmtId="0" fontId="26" fillId="3" borderId="3" xfId="0" applyFont="1" applyFill="1" applyBorder="1" applyAlignment="1">
      <alignment horizontal="center"/>
    </xf>
    <xf numFmtId="0" fontId="26" fillId="3" borderId="4" xfId="0" applyFont="1" applyFill="1" applyBorder="1" applyAlignment="1">
      <alignment horizontal="center"/>
    </xf>
    <xf numFmtId="165" fontId="26" fillId="3" borderId="2" xfId="0" applyNumberFormat="1" applyFont="1" applyFill="1" applyBorder="1" applyAlignment="1">
      <alignment horizontal="center"/>
    </xf>
    <xf numFmtId="165" fontId="26" fillId="3" borderId="3" xfId="0" applyNumberFormat="1" applyFont="1" applyFill="1" applyBorder="1" applyAlignment="1">
      <alignment horizontal="center"/>
    </xf>
    <xf numFmtId="165" fontId="26" fillId="3" borderId="4" xfId="0" applyNumberFormat="1" applyFont="1" applyFill="1" applyBorder="1" applyAlignment="1">
      <alignment horizontal="center"/>
    </xf>
    <xf numFmtId="165" fontId="26" fillId="3" borderId="29" xfId="0" applyNumberFormat="1" applyFont="1" applyFill="1" applyBorder="1" applyAlignment="1">
      <alignment horizontal="center" vertical="center"/>
    </xf>
    <xf numFmtId="165" fontId="26" fillId="3" borderId="2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4" fontId="18" fillId="0" borderId="20" xfId="0" applyNumberFormat="1" applyFont="1" applyFill="1" applyBorder="1" applyAlignment="1">
      <alignment horizontal="center"/>
    </xf>
    <xf numFmtId="164" fontId="1" fillId="0" borderId="17" xfId="0" applyNumberFormat="1" applyFont="1" applyFill="1" applyBorder="1" applyAlignment="1">
      <alignment horizontal="center" vertical="center"/>
    </xf>
    <xf numFmtId="164" fontId="1" fillId="0" borderId="40" xfId="0" applyNumberFormat="1" applyFont="1" applyFill="1" applyBorder="1" applyAlignment="1">
      <alignment horizontal="center" vertical="center"/>
    </xf>
    <xf numFmtId="164" fontId="1" fillId="0" borderId="41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164" fontId="1" fillId="0" borderId="24" xfId="0" applyNumberFormat="1" applyFont="1" applyFill="1" applyBorder="1" applyAlignment="1">
      <alignment horizontal="center"/>
    </xf>
    <xf numFmtId="164" fontId="1" fillId="0" borderId="23" xfId="0" applyNumberFormat="1" applyFont="1" applyFill="1" applyBorder="1" applyAlignment="1">
      <alignment horizontal="center"/>
    </xf>
    <xf numFmtId="164" fontId="1" fillId="0" borderId="26" xfId="0" applyNumberFormat="1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20" fillId="0" borderId="36" xfId="0" applyFont="1" applyFill="1" applyBorder="1" applyAlignment="1">
      <alignment horizontal="center"/>
    </xf>
    <xf numFmtId="0" fontId="20" fillId="0" borderId="35" xfId="0" applyFont="1" applyFill="1" applyBorder="1" applyAlignment="1">
      <alignment horizontal="center"/>
    </xf>
    <xf numFmtId="0" fontId="1" fillId="0" borderId="0" xfId="0" applyFont="1" applyFill="1" applyAlignment="1">
      <alignment horizontal="left" indent="2"/>
    </xf>
    <xf numFmtId="0" fontId="51" fillId="0" borderId="19" xfId="0" applyFont="1" applyFill="1" applyBorder="1" applyAlignment="1">
      <alignment horizontal="center"/>
    </xf>
    <xf numFmtId="0" fontId="51" fillId="0" borderId="18" xfId="0" applyFont="1" applyFill="1" applyBorder="1" applyAlignment="1">
      <alignment horizontal="center"/>
    </xf>
    <xf numFmtId="0" fontId="51" fillId="0" borderId="11" xfId="0" applyFont="1" applyFill="1" applyBorder="1" applyAlignment="1">
      <alignment horizontal="center"/>
    </xf>
    <xf numFmtId="0" fontId="51" fillId="0" borderId="12" xfId="0" applyFont="1" applyFill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51" fillId="0" borderId="12" xfId="0" applyFont="1" applyBorder="1" applyAlignment="1">
      <alignment horizontal="center"/>
    </xf>
    <xf numFmtId="0" fontId="51" fillId="0" borderId="13" xfId="0" applyFont="1" applyBorder="1" applyAlignment="1">
      <alignment horizontal="center"/>
    </xf>
  </cellXfs>
  <cellStyles count="7">
    <cellStyle name="Lien hypertexte" xfId="5" builtinId="8"/>
    <cellStyle name="Milliers" xfId="4" builtinId="3"/>
    <cellStyle name="Milliers 2" xfId="1"/>
    <cellStyle name="Normal" xfId="0" builtinId="0"/>
    <cellStyle name="Normal 2" xfId="2"/>
    <cellStyle name="Pourcentage" xfId="6" builtinId="5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stbnet.stb.com.tn/Infocentre/menucpt.asp?i=7" TargetMode="External"/><Relationship Id="rId13" Type="http://schemas.openxmlformats.org/officeDocument/2006/relationships/hyperlink" Target="http://stbnet.stb.com.tn/Infocentre/menucpt.asp?i=12" TargetMode="External"/><Relationship Id="rId18" Type="http://schemas.openxmlformats.org/officeDocument/2006/relationships/hyperlink" Target="http://stbnet.stb.com.tn/devise/menucptDevise.asp?i=84017" TargetMode="External"/><Relationship Id="rId26" Type="http://schemas.openxmlformats.org/officeDocument/2006/relationships/printerSettings" Target="../printerSettings/printerSettings14.bin"/><Relationship Id="rId3" Type="http://schemas.openxmlformats.org/officeDocument/2006/relationships/hyperlink" Target="http://stbnet.stb.com.tn/Infocentre/menucpt.asp?i=2" TargetMode="External"/><Relationship Id="rId21" Type="http://schemas.openxmlformats.org/officeDocument/2006/relationships/hyperlink" Target="http://stbnet.stb.com.tn/Infocentre/menucpt.asp?i=20" TargetMode="External"/><Relationship Id="rId7" Type="http://schemas.openxmlformats.org/officeDocument/2006/relationships/hyperlink" Target="http://stbnet.stb.com.tn/Infocentre/menucpt.asp?i=6" TargetMode="External"/><Relationship Id="rId12" Type="http://schemas.openxmlformats.org/officeDocument/2006/relationships/hyperlink" Target="http://stbnet.stb.com.tn/devise/menucptDevise.asp?i=97811" TargetMode="External"/><Relationship Id="rId17" Type="http://schemas.openxmlformats.org/officeDocument/2006/relationships/hyperlink" Target="http://stbnet.stb.com.tn/Infocentre/menucpt.asp?i=16" TargetMode="External"/><Relationship Id="rId25" Type="http://schemas.openxmlformats.org/officeDocument/2006/relationships/hyperlink" Target="http://stbnet.stb.com.tn/Infocentre/menucpt.asp?i=24" TargetMode="External"/><Relationship Id="rId2" Type="http://schemas.openxmlformats.org/officeDocument/2006/relationships/hyperlink" Target="http://stbnet.stb.com.tn/Infocentre/menucpt.asp?i=1" TargetMode="External"/><Relationship Id="rId16" Type="http://schemas.openxmlformats.org/officeDocument/2006/relationships/hyperlink" Target="http://stbnet.stb.com.tn/Infocentre/menucpt.asp?i=15" TargetMode="External"/><Relationship Id="rId20" Type="http://schemas.openxmlformats.org/officeDocument/2006/relationships/hyperlink" Target="http://stbnet.stb.com.tn/Infocentre/menucpt.asp?i=19" TargetMode="External"/><Relationship Id="rId1" Type="http://schemas.openxmlformats.org/officeDocument/2006/relationships/hyperlink" Target="http://stbnet.stb.com.tn/Infocentre/menucpt.asp?i=0" TargetMode="External"/><Relationship Id="rId6" Type="http://schemas.openxmlformats.org/officeDocument/2006/relationships/hyperlink" Target="http://stbnet.stb.com.tn/Infocentre/menucpt.asp?i=5" TargetMode="External"/><Relationship Id="rId11" Type="http://schemas.openxmlformats.org/officeDocument/2006/relationships/hyperlink" Target="http://stbnet.stb.com.tn/devise/menucptDevise.asp?i=97810" TargetMode="External"/><Relationship Id="rId24" Type="http://schemas.openxmlformats.org/officeDocument/2006/relationships/hyperlink" Target="http://stbnet.stb.com.tn/Infocentre/menucpt.asp?i=23" TargetMode="External"/><Relationship Id="rId5" Type="http://schemas.openxmlformats.org/officeDocument/2006/relationships/hyperlink" Target="http://stbnet.stb.com.tn/Infocentre/menucpt.asp?i=4" TargetMode="External"/><Relationship Id="rId15" Type="http://schemas.openxmlformats.org/officeDocument/2006/relationships/hyperlink" Target="http://stbnet.stb.com.tn/Infocentre/menucpt.asp?i=14" TargetMode="External"/><Relationship Id="rId23" Type="http://schemas.openxmlformats.org/officeDocument/2006/relationships/hyperlink" Target="http://stbnet.stb.com.tn/Infocentre/menucpt.asp?i=22" TargetMode="External"/><Relationship Id="rId10" Type="http://schemas.openxmlformats.org/officeDocument/2006/relationships/hyperlink" Target="http://stbnet.stb.com.tn/devise/menucptDevise.asp?i=9789" TargetMode="External"/><Relationship Id="rId19" Type="http://schemas.openxmlformats.org/officeDocument/2006/relationships/hyperlink" Target="http://stbnet.stb.com.tn/devise/menucptDevise.asp?i=84018" TargetMode="External"/><Relationship Id="rId4" Type="http://schemas.openxmlformats.org/officeDocument/2006/relationships/hyperlink" Target="http://stbnet.stb.com.tn/Infocentre/menucpt.asp?i=3" TargetMode="External"/><Relationship Id="rId9" Type="http://schemas.openxmlformats.org/officeDocument/2006/relationships/hyperlink" Target="http://stbnet.stb.com.tn/Infocentre/menucpt.asp?i=8" TargetMode="External"/><Relationship Id="rId14" Type="http://schemas.openxmlformats.org/officeDocument/2006/relationships/hyperlink" Target="http://stbnet.stb.com.tn/Infocentre/menucpt.asp?i=13" TargetMode="External"/><Relationship Id="rId22" Type="http://schemas.openxmlformats.org/officeDocument/2006/relationships/hyperlink" Target="http://stbnet.stb.com.tn/Infocentre/menucpt.asp?i=21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4"/>
  <sheetViews>
    <sheetView workbookViewId="0">
      <pane ySplit="2" topLeftCell="A3" activePane="bottomLeft" state="frozen"/>
      <selection activeCell="D38" sqref="D38"/>
      <selection pane="bottomLeft" activeCell="B19" sqref="B19"/>
    </sheetView>
  </sheetViews>
  <sheetFormatPr baseColWidth="10" defaultRowHeight="15"/>
  <cols>
    <col min="1" max="1" width="20.5703125" style="163" bestFit="1" customWidth="1"/>
    <col min="2" max="15" width="13.42578125" style="167" customWidth="1"/>
    <col min="16" max="16384" width="11.42578125" style="163"/>
  </cols>
  <sheetData>
    <row r="1" spans="1:15" s="164" customFormat="1" ht="15" customHeight="1" thickBot="1">
      <c r="B1" s="665" t="s">
        <v>511</v>
      </c>
      <c r="C1" s="666"/>
      <c r="D1" s="665" t="s">
        <v>430</v>
      </c>
      <c r="E1" s="667"/>
      <c r="F1" s="667"/>
      <c r="G1" s="667"/>
      <c r="H1" s="667"/>
      <c r="I1" s="667"/>
      <c r="J1" s="666"/>
      <c r="K1" s="667" t="s">
        <v>432</v>
      </c>
      <c r="L1" s="667"/>
      <c r="M1" s="667"/>
      <c r="N1" s="667"/>
      <c r="O1" s="666"/>
    </row>
    <row r="2" spans="1:15" ht="15.75" thickBot="1">
      <c r="B2" s="213" t="s">
        <v>512</v>
      </c>
      <c r="C2" s="214" t="s">
        <v>515</v>
      </c>
      <c r="D2" s="213" t="s">
        <v>524</v>
      </c>
      <c r="E2" s="215" t="s">
        <v>512</v>
      </c>
      <c r="F2" s="215" t="s">
        <v>546</v>
      </c>
      <c r="G2" s="215" t="s">
        <v>547</v>
      </c>
      <c r="H2" s="215" t="s">
        <v>548</v>
      </c>
      <c r="I2" s="215" t="s">
        <v>516</v>
      </c>
      <c r="J2" s="214" t="s">
        <v>517</v>
      </c>
      <c r="K2" s="216" t="s">
        <v>548</v>
      </c>
      <c r="L2" s="215" t="s">
        <v>519</v>
      </c>
      <c r="M2" s="215" t="s">
        <v>518</v>
      </c>
      <c r="N2" s="215" t="s">
        <v>516</v>
      </c>
      <c r="O2" s="214" t="s">
        <v>517</v>
      </c>
    </row>
    <row r="3" spans="1:15" s="277" customFormat="1">
      <c r="A3" s="273" t="s">
        <v>814</v>
      </c>
      <c r="B3" s="274">
        <v>-549477.06200000003</v>
      </c>
      <c r="C3" s="275">
        <v>63870.83</v>
      </c>
      <c r="D3" s="274">
        <v>-4174.3540000000003</v>
      </c>
      <c r="E3" s="276">
        <v>-2655839.3259999999</v>
      </c>
      <c r="F3" s="276">
        <v>4580.7610000000004</v>
      </c>
      <c r="G3" s="276">
        <v>7000</v>
      </c>
      <c r="H3" s="276">
        <v>8721.098</v>
      </c>
      <c r="I3" s="276">
        <v>482902.19</v>
      </c>
      <c r="J3" s="275">
        <v>68274.710000000006</v>
      </c>
      <c r="K3" s="276">
        <v>-96441.486000000004</v>
      </c>
      <c r="L3" s="276">
        <v>-77230.498000000007</v>
      </c>
      <c r="M3" s="276">
        <v>-1118220.5060000001</v>
      </c>
      <c r="N3" s="276">
        <v>285.18</v>
      </c>
      <c r="O3" s="275">
        <v>182237.3</v>
      </c>
    </row>
    <row r="4" spans="1:15" s="165" customFormat="1" ht="12.75">
      <c r="A4" s="196" t="s">
        <v>520</v>
      </c>
      <c r="B4" s="170">
        <f>SUM(B5:B7)</f>
        <v>386158.82699999999</v>
      </c>
      <c r="C4" s="172">
        <f t="shared" ref="C4:O4" si="0">SUM(C5:C7)</f>
        <v>24626.682000000001</v>
      </c>
      <c r="D4" s="170">
        <f t="shared" si="0"/>
        <v>0</v>
      </c>
      <c r="E4" s="171">
        <f>SUM(E5:E7)</f>
        <v>0</v>
      </c>
      <c r="F4" s="171">
        <f t="shared" si="0"/>
        <v>0</v>
      </c>
      <c r="G4" s="171">
        <f t="shared" si="0"/>
        <v>0</v>
      </c>
      <c r="H4" s="171">
        <f t="shared" si="0"/>
        <v>0</v>
      </c>
      <c r="I4" s="171">
        <f t="shared" si="0"/>
        <v>0</v>
      </c>
      <c r="J4" s="172">
        <f t="shared" si="0"/>
        <v>0</v>
      </c>
      <c r="K4" s="171">
        <f t="shared" si="0"/>
        <v>0</v>
      </c>
      <c r="L4" s="171">
        <f t="shared" si="0"/>
        <v>160000</v>
      </c>
      <c r="M4" s="171">
        <f t="shared" si="0"/>
        <v>0</v>
      </c>
      <c r="N4" s="171">
        <f t="shared" si="0"/>
        <v>0</v>
      </c>
      <c r="O4" s="172">
        <f t="shared" si="0"/>
        <v>0</v>
      </c>
    </row>
    <row r="5" spans="1:15">
      <c r="A5" s="197" t="s">
        <v>521</v>
      </c>
      <c r="B5" s="173">
        <v>115482.63499999999</v>
      </c>
      <c r="C5" s="194">
        <v>14212.511</v>
      </c>
      <c r="D5" s="173"/>
      <c r="E5" s="174"/>
      <c r="F5" s="174"/>
      <c r="G5" s="174"/>
      <c r="H5" s="174"/>
      <c r="I5" s="174"/>
      <c r="J5" s="175"/>
      <c r="K5" s="174"/>
      <c r="L5" s="174">
        <f>C44+B44</f>
        <v>160000</v>
      </c>
      <c r="M5" s="174"/>
      <c r="N5" s="174"/>
      <c r="O5" s="175"/>
    </row>
    <row r="6" spans="1:15">
      <c r="A6" s="197" t="s">
        <v>522</v>
      </c>
      <c r="B6" s="173">
        <f>143158.788+127517.404</f>
        <v>270676.19199999998</v>
      </c>
      <c r="C6" s="194">
        <v>10414.171</v>
      </c>
      <c r="D6" s="173"/>
      <c r="E6" s="174"/>
      <c r="F6" s="174"/>
      <c r="G6" s="174"/>
      <c r="H6" s="174"/>
      <c r="I6" s="174"/>
      <c r="J6" s="175"/>
      <c r="K6" s="174"/>
      <c r="L6" s="174"/>
      <c r="M6" s="174"/>
      <c r="N6" s="174"/>
      <c r="O6" s="175"/>
    </row>
    <row r="7" spans="1:15">
      <c r="A7" s="197" t="s">
        <v>523</v>
      </c>
      <c r="B7" s="173"/>
      <c r="C7" s="194"/>
      <c r="D7" s="173"/>
      <c r="E7" s="174"/>
      <c r="F7" s="174"/>
      <c r="G7" s="174"/>
      <c r="H7" s="174"/>
      <c r="I7" s="174"/>
      <c r="J7" s="175"/>
      <c r="K7" s="174"/>
      <c r="L7" s="174"/>
      <c r="M7" s="174"/>
      <c r="N7" s="174"/>
      <c r="O7" s="175"/>
    </row>
    <row r="8" spans="1:15">
      <c r="A8" s="198" t="s">
        <v>525</v>
      </c>
      <c r="B8" s="176">
        <f>B9+B10+B11+B12+B18+B20</f>
        <v>528022.69899999979</v>
      </c>
      <c r="C8" s="178">
        <f t="shared" ref="C8:O8" si="1">C9+C10+C11+C12+C18+C20</f>
        <v>0</v>
      </c>
      <c r="D8" s="176">
        <f t="shared" si="1"/>
        <v>0</v>
      </c>
      <c r="E8" s="177">
        <f>E9+E10+E11+E12+E18+E20+E19</f>
        <v>0</v>
      </c>
      <c r="F8" s="177">
        <f>F9+F10+F11+F12+F18+F20+F21</f>
        <v>0</v>
      </c>
      <c r="G8" s="177">
        <f t="shared" si="1"/>
        <v>800000</v>
      </c>
      <c r="H8" s="177">
        <f t="shared" si="1"/>
        <v>0</v>
      </c>
      <c r="I8" s="177">
        <f t="shared" si="1"/>
        <v>94786.489999999991</v>
      </c>
      <c r="J8" s="178" t="e">
        <f t="shared" si="1"/>
        <v>#REF!</v>
      </c>
      <c r="K8" s="177">
        <f t="shared" si="1"/>
        <v>0</v>
      </c>
      <c r="L8" s="177">
        <f t="shared" si="1"/>
        <v>0</v>
      </c>
      <c r="M8" s="177">
        <f t="shared" si="1"/>
        <v>404000</v>
      </c>
      <c r="N8" s="177">
        <f t="shared" si="1"/>
        <v>59479.4</v>
      </c>
      <c r="O8" s="178" t="e">
        <f t="shared" si="1"/>
        <v>#REF!</v>
      </c>
    </row>
    <row r="9" spans="1:15">
      <c r="A9" s="197" t="s">
        <v>521</v>
      </c>
      <c r="B9" s="173">
        <f>CT!D258</f>
        <v>384994.84099999984</v>
      </c>
      <c r="C9" s="194"/>
      <c r="D9" s="173"/>
      <c r="E9" s="174">
        <f>B46</f>
        <v>0</v>
      </c>
      <c r="F9" s="174"/>
      <c r="G9" s="174"/>
      <c r="H9" s="174"/>
      <c r="I9" s="174"/>
      <c r="J9" s="175"/>
      <c r="K9" s="174"/>
      <c r="L9" s="174"/>
      <c r="M9" s="174"/>
      <c r="N9" s="174"/>
      <c r="O9" s="175"/>
    </row>
    <row r="10" spans="1:15">
      <c r="A10" s="197" t="s">
        <v>555</v>
      </c>
      <c r="B10" s="173"/>
      <c r="C10" s="194"/>
      <c r="D10" s="173"/>
      <c r="E10" s="174"/>
      <c r="F10" s="174"/>
      <c r="G10" s="174"/>
      <c r="H10" s="174"/>
      <c r="I10" s="174"/>
      <c r="J10" s="175"/>
      <c r="K10" s="174"/>
      <c r="L10" s="174"/>
      <c r="M10" s="174"/>
      <c r="N10" s="174"/>
      <c r="O10" s="175"/>
    </row>
    <row r="11" spans="1:15">
      <c r="A11" s="197" t="s">
        <v>522</v>
      </c>
      <c r="B11" s="173">
        <f>TR!D40</f>
        <v>143027.85799999998</v>
      </c>
      <c r="C11" s="194"/>
      <c r="D11" s="173"/>
      <c r="E11" s="174"/>
      <c r="F11" s="174"/>
      <c r="G11" s="174"/>
      <c r="H11" s="174"/>
      <c r="I11" s="174"/>
      <c r="J11" s="175"/>
      <c r="K11" s="174"/>
      <c r="L11" s="174"/>
      <c r="M11" s="174"/>
      <c r="N11" s="174"/>
      <c r="O11" s="175"/>
    </row>
    <row r="12" spans="1:15" s="164" customFormat="1" ht="14.25">
      <c r="A12" s="206" t="s">
        <v>523</v>
      </c>
      <c r="B12" s="168"/>
      <c r="C12" s="169"/>
      <c r="D12" s="191">
        <f t="shared" ref="D12:I12" si="2">SUM(D13:D17)</f>
        <v>0</v>
      </c>
      <c r="E12" s="192">
        <f>F46</f>
        <v>0</v>
      </c>
      <c r="F12" s="192">
        <v>0</v>
      </c>
      <c r="G12" s="192">
        <f t="shared" si="2"/>
        <v>0</v>
      </c>
      <c r="H12" s="192">
        <f t="shared" si="2"/>
        <v>0</v>
      </c>
      <c r="I12" s="192">
        <f t="shared" si="2"/>
        <v>94786.489999999991</v>
      </c>
      <c r="J12" s="193" t="e">
        <f t="shared" ref="J12:O12" si="3">SUM(J13:J17)</f>
        <v>#REF!</v>
      </c>
      <c r="K12" s="192">
        <f t="shared" si="3"/>
        <v>0</v>
      </c>
      <c r="L12" s="192">
        <f t="shared" si="3"/>
        <v>0</v>
      </c>
      <c r="M12" s="192">
        <f t="shared" si="3"/>
        <v>404000</v>
      </c>
      <c r="N12" s="192">
        <f t="shared" si="3"/>
        <v>59479.4</v>
      </c>
      <c r="O12" s="193" t="e">
        <f t="shared" si="3"/>
        <v>#REF!</v>
      </c>
    </row>
    <row r="13" spans="1:15">
      <c r="A13" s="212" t="s">
        <v>558</v>
      </c>
      <c r="B13" s="168"/>
      <c r="C13" s="169"/>
      <c r="D13" s="168"/>
      <c r="E13" s="174"/>
      <c r="F13" s="174"/>
      <c r="G13" s="174"/>
      <c r="H13" s="174"/>
      <c r="I13" s="174">
        <f>+J46*0.895154</f>
        <v>40281.93</v>
      </c>
      <c r="J13" s="175"/>
      <c r="K13" s="174"/>
      <c r="L13" s="174"/>
      <c r="M13" s="174">
        <f>200000*2.02+N44*2.2175</f>
        <v>404000</v>
      </c>
      <c r="N13" s="174">
        <f>50000*0.894758</f>
        <v>44737.9</v>
      </c>
      <c r="O13" s="175"/>
    </row>
    <row r="14" spans="1:15">
      <c r="A14" s="212" t="s">
        <v>513</v>
      </c>
      <c r="B14" s="168"/>
      <c r="C14" s="169"/>
      <c r="D14" s="168"/>
      <c r="E14" s="174"/>
      <c r="F14" s="174"/>
      <c r="G14" s="174"/>
      <c r="H14" s="174"/>
      <c r="I14" s="174"/>
      <c r="J14" s="175" t="e">
        <f>EXPORT!#REF!</f>
        <v>#REF!</v>
      </c>
      <c r="K14" s="174"/>
      <c r="L14" s="174"/>
      <c r="M14" s="174"/>
      <c r="N14" s="174"/>
      <c r="O14" s="175" t="e">
        <f>EXPORT!#REF!</f>
        <v>#REF!</v>
      </c>
    </row>
    <row r="15" spans="1:15">
      <c r="A15" s="212" t="s">
        <v>514</v>
      </c>
      <c r="B15" s="168"/>
      <c r="C15" s="169"/>
      <c r="D15" s="168"/>
      <c r="E15" s="174"/>
      <c r="F15" s="174"/>
      <c r="G15" s="174"/>
      <c r="H15" s="174"/>
      <c r="I15" s="174"/>
      <c r="J15" s="175" t="e">
        <f>EXPORT!#REF!</f>
        <v>#REF!</v>
      </c>
      <c r="K15" s="174"/>
      <c r="L15" s="174"/>
      <c r="M15" s="174"/>
      <c r="N15" s="174"/>
      <c r="O15" s="175"/>
    </row>
    <row r="16" spans="1:15">
      <c r="A16" s="212" t="s">
        <v>556</v>
      </c>
      <c r="B16" s="168"/>
      <c r="C16" s="169"/>
      <c r="D16" s="168"/>
      <c r="E16" s="174"/>
      <c r="F16" s="174"/>
      <c r="G16" s="174"/>
      <c r="H16" s="174"/>
      <c r="I16" s="174">
        <v>54504.56</v>
      </c>
      <c r="J16" s="175">
        <f>14781.14+17627.78</f>
        <v>32408.92</v>
      </c>
      <c r="K16" s="174"/>
      <c r="L16" s="174"/>
      <c r="M16" s="174"/>
      <c r="N16" s="174">
        <v>14741.5</v>
      </c>
      <c r="O16" s="175">
        <v>23000</v>
      </c>
    </row>
    <row r="17" spans="1:15">
      <c r="A17" s="212" t="s">
        <v>557</v>
      </c>
      <c r="B17" s="168"/>
      <c r="C17" s="169"/>
      <c r="D17" s="168"/>
      <c r="E17" s="174"/>
      <c r="F17" s="174"/>
      <c r="G17" s="174"/>
      <c r="H17" s="174"/>
      <c r="I17" s="174"/>
      <c r="J17" s="175"/>
      <c r="K17" s="174"/>
      <c r="L17" s="174"/>
      <c r="M17" s="174"/>
      <c r="N17" s="174"/>
      <c r="O17" s="175"/>
    </row>
    <row r="18" spans="1:15">
      <c r="A18" s="197" t="s">
        <v>549</v>
      </c>
      <c r="B18" s="168"/>
      <c r="C18" s="169"/>
      <c r="D18" s="168"/>
      <c r="E18" s="174"/>
      <c r="F18" s="174"/>
      <c r="G18" s="174">
        <v>800000</v>
      </c>
      <c r="H18" s="174"/>
      <c r="I18" s="174"/>
      <c r="J18" s="175"/>
      <c r="K18" s="174"/>
      <c r="L18" s="174"/>
      <c r="M18" s="174"/>
      <c r="N18" s="174"/>
      <c r="O18" s="175"/>
    </row>
    <row r="19" spans="1:15">
      <c r="A19" s="197" t="s">
        <v>621</v>
      </c>
      <c r="B19" s="168"/>
      <c r="C19" s="169"/>
      <c r="D19" s="168"/>
      <c r="E19" s="174"/>
      <c r="F19" s="174"/>
      <c r="G19" s="174"/>
      <c r="H19" s="174"/>
      <c r="I19" s="174"/>
      <c r="J19" s="175"/>
      <c r="K19" s="174"/>
      <c r="L19" s="174"/>
      <c r="M19" s="174"/>
      <c r="N19" s="174"/>
      <c r="O19" s="175"/>
    </row>
    <row r="20" spans="1:15">
      <c r="A20" s="197" t="s">
        <v>475</v>
      </c>
      <c r="B20" s="168"/>
      <c r="C20" s="169"/>
      <c r="D20" s="168"/>
      <c r="E20" s="174">
        <f>+EXPORT!H26</f>
        <v>0</v>
      </c>
      <c r="F20" s="174"/>
      <c r="G20" s="174"/>
      <c r="H20" s="174"/>
      <c r="I20" s="174"/>
      <c r="J20" s="175"/>
      <c r="K20" s="174"/>
      <c r="L20" s="174"/>
      <c r="M20" s="174"/>
      <c r="N20" s="174"/>
      <c r="O20" s="175"/>
    </row>
    <row r="21" spans="1:15">
      <c r="A21" s="207" t="s">
        <v>539</v>
      </c>
      <c r="B21" s="208"/>
      <c r="C21" s="209"/>
      <c r="D21" s="208"/>
      <c r="E21" s="210">
        <v>3500000</v>
      </c>
      <c r="F21" s="210"/>
      <c r="G21" s="210">
        <v>2000000</v>
      </c>
      <c r="H21" s="210"/>
      <c r="I21" s="210"/>
      <c r="J21" s="211"/>
      <c r="K21" s="210"/>
      <c r="L21" s="210"/>
      <c r="M21" s="210"/>
      <c r="N21" s="210"/>
      <c r="O21" s="211"/>
    </row>
    <row r="22" spans="1:15">
      <c r="A22" s="199" t="s">
        <v>526</v>
      </c>
      <c r="B22" s="179">
        <f>B23+B37+B48</f>
        <v>260000</v>
      </c>
      <c r="C22" s="181">
        <f t="shared" ref="C22:O22" si="4">C23+C37+C48</f>
        <v>60000</v>
      </c>
      <c r="D22" s="179">
        <f t="shared" si="4"/>
        <v>0</v>
      </c>
      <c r="E22" s="180">
        <f t="shared" si="4"/>
        <v>210000</v>
      </c>
      <c r="F22" s="180">
        <f t="shared" si="4"/>
        <v>0</v>
      </c>
      <c r="G22" s="180">
        <f t="shared" si="4"/>
        <v>0</v>
      </c>
      <c r="H22" s="180">
        <f t="shared" si="4"/>
        <v>0</v>
      </c>
      <c r="I22" s="180">
        <f t="shared" si="4"/>
        <v>577640.74</v>
      </c>
      <c r="J22" s="181">
        <f t="shared" si="4"/>
        <v>45000</v>
      </c>
      <c r="K22" s="180">
        <f t="shared" si="4"/>
        <v>0</v>
      </c>
      <c r="L22" s="180">
        <f t="shared" si="4"/>
        <v>48182.398000000001</v>
      </c>
      <c r="M22" s="180">
        <f t="shared" si="4"/>
        <v>0</v>
      </c>
      <c r="N22" s="180" t="e">
        <f t="shared" si="4"/>
        <v>#REF!</v>
      </c>
      <c r="O22" s="181">
        <f t="shared" si="4"/>
        <v>250000</v>
      </c>
    </row>
    <row r="23" spans="1:15" s="164" customFormat="1" ht="14.25">
      <c r="A23" s="200" t="s">
        <v>535</v>
      </c>
      <c r="B23" s="182">
        <f>SUM(B24:B36)</f>
        <v>0</v>
      </c>
      <c r="C23" s="184">
        <f t="shared" ref="C23:O23" si="5">SUM(C24:C36)</f>
        <v>0</v>
      </c>
      <c r="D23" s="182">
        <f t="shared" si="5"/>
        <v>0</v>
      </c>
      <c r="E23" s="183">
        <f t="shared" si="5"/>
        <v>0</v>
      </c>
      <c r="F23" s="183">
        <f t="shared" si="5"/>
        <v>0</v>
      </c>
      <c r="G23" s="183">
        <f t="shared" si="5"/>
        <v>0</v>
      </c>
      <c r="H23" s="183">
        <f t="shared" si="5"/>
        <v>0</v>
      </c>
      <c r="I23" s="183">
        <f t="shared" si="5"/>
        <v>577640.74</v>
      </c>
      <c r="J23" s="184">
        <f t="shared" si="5"/>
        <v>0</v>
      </c>
      <c r="K23" s="183">
        <f t="shared" si="5"/>
        <v>0</v>
      </c>
      <c r="L23" s="183">
        <f t="shared" si="5"/>
        <v>0</v>
      </c>
      <c r="M23" s="183">
        <f t="shared" si="5"/>
        <v>0</v>
      </c>
      <c r="N23" s="183" t="e">
        <f t="shared" si="5"/>
        <v>#REF!</v>
      </c>
      <c r="O23" s="184">
        <f t="shared" si="5"/>
        <v>0</v>
      </c>
    </row>
    <row r="24" spans="1:15" s="165" customFormat="1" ht="12.75">
      <c r="A24" s="201" t="s">
        <v>531</v>
      </c>
      <c r="B24" s="185"/>
      <c r="C24" s="195"/>
      <c r="D24" s="185"/>
      <c r="E24" s="186"/>
      <c r="F24" s="186"/>
      <c r="G24" s="186"/>
      <c r="H24" s="186"/>
      <c r="I24" s="186">
        <f>323415.62+254225.12</f>
        <v>577640.74</v>
      </c>
      <c r="J24" s="187"/>
      <c r="K24" s="186"/>
      <c r="L24" s="186"/>
      <c r="M24" s="186"/>
      <c r="N24" s="186"/>
      <c r="O24" s="187"/>
    </row>
    <row r="25" spans="1:15" s="165" customFormat="1" ht="12.75">
      <c r="A25" s="201" t="s">
        <v>616</v>
      </c>
      <c r="B25" s="185"/>
      <c r="C25" s="195"/>
      <c r="D25" s="185"/>
      <c r="E25" s="186"/>
      <c r="F25" s="186"/>
      <c r="G25" s="186"/>
      <c r="H25" s="186"/>
      <c r="I25" s="186"/>
      <c r="J25" s="187"/>
      <c r="K25" s="186"/>
      <c r="L25" s="186"/>
      <c r="M25" s="186"/>
      <c r="N25" s="186"/>
      <c r="O25" s="187"/>
    </row>
    <row r="26" spans="1:15" s="165" customFormat="1" ht="12.75">
      <c r="A26" s="201" t="s">
        <v>550</v>
      </c>
      <c r="B26" s="185"/>
      <c r="C26" s="195"/>
      <c r="D26" s="185"/>
      <c r="E26" s="186"/>
      <c r="F26" s="186"/>
      <c r="G26" s="186"/>
      <c r="H26" s="186"/>
      <c r="I26" s="186"/>
      <c r="J26" s="187"/>
      <c r="K26" s="186"/>
      <c r="L26" s="186"/>
      <c r="M26" s="186"/>
      <c r="N26" s="186"/>
      <c r="O26" s="187"/>
    </row>
    <row r="27" spans="1:15" s="165" customFormat="1" ht="12.75">
      <c r="A27" s="201" t="s">
        <v>811</v>
      </c>
      <c r="B27" s="185"/>
      <c r="C27" s="195"/>
      <c r="D27" s="185"/>
      <c r="E27" s="186"/>
      <c r="F27" s="186"/>
      <c r="G27" s="186"/>
      <c r="H27" s="186"/>
      <c r="I27" s="186"/>
      <c r="J27" s="187"/>
      <c r="K27" s="186"/>
      <c r="L27" s="186"/>
      <c r="M27" s="186"/>
      <c r="N27" s="186" t="e">
        <f>Etranger!#REF!</f>
        <v>#REF!</v>
      </c>
      <c r="O27" s="187"/>
    </row>
    <row r="28" spans="1:15" s="165" customFormat="1" ht="12.75">
      <c r="A28" s="201" t="s">
        <v>553</v>
      </c>
      <c r="B28" s="185"/>
      <c r="C28" s="195"/>
      <c r="D28" s="185"/>
      <c r="E28" s="186"/>
      <c r="F28" s="186"/>
      <c r="G28" s="186"/>
      <c r="H28" s="186"/>
      <c r="I28" s="186"/>
      <c r="J28" s="187"/>
      <c r="K28" s="186"/>
      <c r="L28" s="186"/>
      <c r="M28" s="186"/>
      <c r="N28" s="186"/>
      <c r="O28" s="187"/>
    </row>
    <row r="29" spans="1:15" s="165" customFormat="1" ht="12.75">
      <c r="A29" s="201" t="s">
        <v>554</v>
      </c>
      <c r="B29" s="185"/>
      <c r="C29" s="195"/>
      <c r="D29" s="185"/>
      <c r="E29" s="186"/>
      <c r="F29" s="186"/>
      <c r="G29" s="186"/>
      <c r="H29" s="186"/>
      <c r="I29" s="186"/>
      <c r="J29" s="187"/>
      <c r="K29" s="186"/>
      <c r="L29" s="186"/>
      <c r="M29" s="186"/>
      <c r="N29" s="186"/>
      <c r="O29" s="187"/>
    </row>
    <row r="30" spans="1:15" s="165" customFormat="1" ht="12.75">
      <c r="A30" s="201" t="s">
        <v>532</v>
      </c>
      <c r="B30" s="185"/>
      <c r="C30" s="195"/>
      <c r="D30" s="185"/>
      <c r="E30" s="186"/>
      <c r="F30" s="186"/>
      <c r="G30" s="186"/>
      <c r="H30" s="186"/>
      <c r="I30" s="186"/>
      <c r="J30" s="187"/>
      <c r="K30" s="186"/>
      <c r="L30" s="186"/>
      <c r="M30" s="186"/>
      <c r="N30" s="186" t="e">
        <f>Etranger!#REF!+Etranger!#REF!+Etranger!#REF!+Etranger!#REF!</f>
        <v>#REF!</v>
      </c>
      <c r="O30" s="187"/>
    </row>
    <row r="31" spans="1:15" s="165" customFormat="1" ht="12.75">
      <c r="A31" s="201" t="s">
        <v>533</v>
      </c>
      <c r="B31" s="185"/>
      <c r="C31" s="195"/>
      <c r="D31" s="185"/>
      <c r="E31" s="186"/>
      <c r="F31" s="186"/>
      <c r="G31" s="186"/>
      <c r="H31" s="186"/>
      <c r="I31" s="186"/>
      <c r="J31" s="187"/>
      <c r="K31" s="186"/>
      <c r="L31" s="186"/>
      <c r="M31" s="186"/>
      <c r="N31" s="186"/>
      <c r="O31" s="187"/>
    </row>
    <row r="32" spans="1:15" s="165" customFormat="1" ht="12.75">
      <c r="A32" s="201" t="s">
        <v>545</v>
      </c>
      <c r="B32" s="185"/>
      <c r="C32" s="195"/>
      <c r="D32" s="185"/>
      <c r="E32" s="186"/>
      <c r="F32" s="186"/>
      <c r="G32" s="186"/>
      <c r="H32" s="186"/>
      <c r="I32" s="186"/>
      <c r="J32" s="187"/>
      <c r="K32" s="186"/>
      <c r="L32" s="186"/>
      <c r="M32" s="186"/>
      <c r="N32" s="186"/>
      <c r="O32" s="187"/>
    </row>
    <row r="33" spans="1:15" s="165" customFormat="1" ht="12.75">
      <c r="A33" s="201" t="s">
        <v>534</v>
      </c>
      <c r="B33" s="185"/>
      <c r="C33" s="195"/>
      <c r="D33" s="185"/>
      <c r="E33" s="186"/>
      <c r="F33" s="186"/>
      <c r="G33" s="186"/>
      <c r="H33" s="186"/>
      <c r="I33" s="186"/>
      <c r="J33" s="187"/>
      <c r="K33" s="186"/>
      <c r="L33" s="186"/>
      <c r="M33" s="186"/>
      <c r="N33" s="186"/>
      <c r="O33" s="187"/>
    </row>
    <row r="34" spans="1:15" s="165" customFormat="1" ht="12.75">
      <c r="A34" s="201" t="s">
        <v>536</v>
      </c>
      <c r="B34" s="185"/>
      <c r="C34" s="195"/>
      <c r="D34" s="185"/>
      <c r="E34" s="186"/>
      <c r="F34" s="186"/>
      <c r="G34" s="186"/>
      <c r="H34" s="186"/>
      <c r="I34" s="186"/>
      <c r="J34" s="187"/>
      <c r="K34" s="186"/>
      <c r="L34" s="186"/>
      <c r="M34" s="186"/>
      <c r="N34" s="186"/>
      <c r="O34" s="187"/>
    </row>
    <row r="35" spans="1:15" s="165" customFormat="1" ht="12.75">
      <c r="A35" s="201" t="s">
        <v>541</v>
      </c>
      <c r="B35" s="185"/>
      <c r="C35" s="195"/>
      <c r="D35" s="185"/>
      <c r="E35" s="186"/>
      <c r="F35" s="186"/>
      <c r="G35" s="186"/>
      <c r="H35" s="186"/>
      <c r="I35" s="186"/>
      <c r="J35" s="187"/>
      <c r="K35" s="186"/>
      <c r="L35" s="186"/>
      <c r="M35" s="186"/>
      <c r="N35" s="186"/>
      <c r="O35" s="187"/>
    </row>
    <row r="36" spans="1:15" s="165" customFormat="1" ht="12.75">
      <c r="A36" s="201" t="s">
        <v>537</v>
      </c>
      <c r="B36" s="185"/>
      <c r="C36" s="195"/>
      <c r="D36" s="185"/>
      <c r="E36" s="186"/>
      <c r="F36" s="186"/>
      <c r="G36" s="186"/>
      <c r="H36" s="186"/>
      <c r="I36" s="186"/>
      <c r="J36" s="187"/>
      <c r="K36" s="186"/>
      <c r="L36" s="186"/>
      <c r="M36" s="186"/>
      <c r="N36" s="186"/>
      <c r="O36" s="187"/>
    </row>
    <row r="37" spans="1:15" s="164" customFormat="1" ht="14.25">
      <c r="A37" s="202" t="s">
        <v>538</v>
      </c>
      <c r="B37" s="182">
        <f>SUM(B38:B47)</f>
        <v>260000</v>
      </c>
      <c r="C37" s="184">
        <f t="shared" ref="C37:O37" si="6">SUM(C38:C47)</f>
        <v>60000</v>
      </c>
      <c r="D37" s="182">
        <f t="shared" si="6"/>
        <v>0</v>
      </c>
      <c r="E37" s="183">
        <f t="shared" si="6"/>
        <v>210000</v>
      </c>
      <c r="F37" s="183">
        <f t="shared" si="6"/>
        <v>0</v>
      </c>
      <c r="G37" s="183">
        <f t="shared" si="6"/>
        <v>0</v>
      </c>
      <c r="H37" s="183">
        <f t="shared" si="6"/>
        <v>0</v>
      </c>
      <c r="I37" s="183">
        <f t="shared" si="6"/>
        <v>0</v>
      </c>
      <c r="J37" s="184">
        <f t="shared" si="6"/>
        <v>45000</v>
      </c>
      <c r="K37" s="183">
        <f t="shared" si="6"/>
        <v>0</v>
      </c>
      <c r="L37" s="183">
        <f t="shared" si="6"/>
        <v>48182.398000000001</v>
      </c>
      <c r="M37" s="183">
        <f t="shared" si="6"/>
        <v>0</v>
      </c>
      <c r="N37" s="183">
        <f t="shared" si="6"/>
        <v>0</v>
      </c>
      <c r="O37" s="184">
        <f t="shared" si="6"/>
        <v>250000</v>
      </c>
    </row>
    <row r="38" spans="1:15">
      <c r="A38" s="201" t="s">
        <v>527</v>
      </c>
      <c r="B38" s="188">
        <v>35000</v>
      </c>
      <c r="C38" s="190"/>
      <c r="D38" s="188"/>
      <c r="E38" s="189">
        <v>60000</v>
      </c>
      <c r="F38" s="189"/>
      <c r="G38" s="189"/>
      <c r="H38" s="189"/>
      <c r="I38" s="189"/>
      <c r="J38" s="190"/>
      <c r="K38" s="189"/>
      <c r="L38" s="189"/>
      <c r="M38" s="189"/>
      <c r="N38" s="189"/>
      <c r="O38" s="190"/>
    </row>
    <row r="39" spans="1:15">
      <c r="A39" s="201" t="s">
        <v>528</v>
      </c>
      <c r="B39" s="188"/>
      <c r="C39" s="190"/>
      <c r="D39" s="188"/>
      <c r="E39" s="189"/>
      <c r="F39" s="189"/>
      <c r="G39" s="189"/>
      <c r="H39" s="189"/>
      <c r="I39" s="189"/>
      <c r="J39" s="190"/>
      <c r="K39" s="189"/>
      <c r="L39" s="189"/>
      <c r="M39" s="189"/>
      <c r="N39" s="189"/>
      <c r="O39" s="190"/>
    </row>
    <row r="40" spans="1:15">
      <c r="A40" s="201" t="s">
        <v>529</v>
      </c>
      <c r="B40" s="188"/>
      <c r="C40" s="190"/>
      <c r="D40" s="188"/>
      <c r="E40" s="189"/>
      <c r="F40" s="189"/>
      <c r="G40" s="189"/>
      <c r="H40" s="189"/>
      <c r="I40" s="189"/>
      <c r="J40" s="190"/>
      <c r="K40" s="189"/>
      <c r="L40" s="189">
        <f>14743.799+33438.599</f>
        <v>48182.398000000001</v>
      </c>
      <c r="M40" s="189"/>
      <c r="N40" s="189"/>
      <c r="O40" s="190"/>
    </row>
    <row r="41" spans="1:15">
      <c r="A41" s="201" t="s">
        <v>559</v>
      </c>
      <c r="B41" s="188"/>
      <c r="C41" s="190"/>
      <c r="D41" s="188"/>
      <c r="E41" s="189"/>
      <c r="F41" s="189"/>
      <c r="G41" s="189"/>
      <c r="H41" s="189"/>
      <c r="I41" s="189"/>
      <c r="J41" s="190"/>
      <c r="K41" s="189"/>
      <c r="L41" s="189"/>
      <c r="M41" s="189"/>
      <c r="N41" s="189"/>
      <c r="O41" s="190"/>
    </row>
    <row r="42" spans="1:15">
      <c r="A42" s="201" t="s">
        <v>530</v>
      </c>
      <c r="B42" s="188"/>
      <c r="C42" s="190"/>
      <c r="D42" s="188"/>
      <c r="E42" s="189">
        <v>150000</v>
      </c>
      <c r="F42" s="189"/>
      <c r="G42" s="189"/>
      <c r="H42" s="189"/>
      <c r="I42" s="189"/>
      <c r="J42" s="190"/>
      <c r="K42" s="189"/>
      <c r="L42" s="189">
        <f>HAZEM!O135</f>
        <v>0</v>
      </c>
      <c r="M42" s="189"/>
      <c r="N42" s="189"/>
      <c r="O42" s="190"/>
    </row>
    <row r="43" spans="1:15">
      <c r="A43" s="201" t="s">
        <v>551</v>
      </c>
      <c r="B43" s="188">
        <v>50000</v>
      </c>
      <c r="C43" s="190"/>
      <c r="D43" s="188"/>
      <c r="E43" s="189"/>
      <c r="F43" s="189"/>
      <c r="G43" s="189"/>
      <c r="H43" s="189"/>
      <c r="I43" s="189"/>
      <c r="J43" s="190"/>
      <c r="K43" s="189"/>
      <c r="L43" s="189"/>
      <c r="M43" s="189"/>
      <c r="N43" s="189"/>
      <c r="O43" s="190"/>
    </row>
    <row r="44" spans="1:15" s="164" customFormat="1">
      <c r="A44" s="201" t="s">
        <v>432</v>
      </c>
      <c r="B44" s="188">
        <v>100000</v>
      </c>
      <c r="C44" s="190">
        <v>60000</v>
      </c>
      <c r="D44" s="188"/>
      <c r="E44" s="189"/>
      <c r="F44" s="189"/>
      <c r="G44" s="189"/>
      <c r="H44" s="189"/>
      <c r="I44" s="189"/>
      <c r="J44" s="190"/>
      <c r="K44" s="189"/>
      <c r="L44" s="189"/>
      <c r="M44" s="189"/>
      <c r="N44" s="189"/>
      <c r="O44" s="190">
        <v>250000</v>
      </c>
    </row>
    <row r="45" spans="1:15" s="164" customFormat="1">
      <c r="A45" s="201" t="s">
        <v>552</v>
      </c>
      <c r="B45" s="188">
        <v>75000</v>
      </c>
      <c r="C45" s="190"/>
      <c r="D45" s="188"/>
      <c r="E45" s="189"/>
      <c r="F45" s="189"/>
      <c r="G45" s="189"/>
      <c r="H45" s="189"/>
      <c r="I45" s="189"/>
      <c r="J45" s="190"/>
      <c r="K45" s="189"/>
      <c r="L45" s="189"/>
      <c r="M45" s="189"/>
      <c r="N45" s="189"/>
      <c r="O45" s="190"/>
    </row>
    <row r="46" spans="1:15">
      <c r="A46" s="201" t="s">
        <v>430</v>
      </c>
      <c r="B46" s="188"/>
      <c r="C46" s="190"/>
      <c r="D46" s="188"/>
      <c r="E46" s="189"/>
      <c r="F46" s="189"/>
      <c r="G46" s="189"/>
      <c r="H46" s="189"/>
      <c r="I46" s="189"/>
      <c r="J46" s="190">
        <v>45000</v>
      </c>
      <c r="K46" s="189"/>
      <c r="L46" s="189"/>
      <c r="M46" s="189"/>
      <c r="N46" s="189"/>
      <c r="O46" s="190"/>
    </row>
    <row r="47" spans="1:15">
      <c r="A47" s="201" t="s">
        <v>543</v>
      </c>
      <c r="B47" s="188"/>
      <c r="C47" s="190"/>
      <c r="D47" s="188"/>
      <c r="E47" s="189"/>
      <c r="F47" s="189"/>
      <c r="G47" s="189"/>
      <c r="H47" s="189"/>
      <c r="I47" s="189"/>
      <c r="J47" s="190"/>
      <c r="K47" s="189"/>
      <c r="L47" s="189"/>
      <c r="M47" s="189"/>
      <c r="N47" s="189"/>
      <c r="O47" s="190"/>
    </row>
    <row r="48" spans="1:15" s="164" customFormat="1" ht="14.25">
      <c r="A48" s="203" t="s">
        <v>540</v>
      </c>
      <c r="B48" s="191">
        <f>SUM(B49:B50)</f>
        <v>0</v>
      </c>
      <c r="C48" s="193">
        <f t="shared" ref="C48:O48" si="7">SUM(C49:C50)</f>
        <v>0</v>
      </c>
      <c r="D48" s="191">
        <f t="shared" si="7"/>
        <v>0</v>
      </c>
      <c r="E48" s="192">
        <f t="shared" si="7"/>
        <v>0</v>
      </c>
      <c r="F48" s="192">
        <f t="shared" si="7"/>
        <v>0</v>
      </c>
      <c r="G48" s="192">
        <f t="shared" si="7"/>
        <v>0</v>
      </c>
      <c r="H48" s="192">
        <f t="shared" si="7"/>
        <v>0</v>
      </c>
      <c r="I48" s="192">
        <f t="shared" si="7"/>
        <v>0</v>
      </c>
      <c r="J48" s="193">
        <f t="shared" si="7"/>
        <v>0</v>
      </c>
      <c r="K48" s="192">
        <f t="shared" si="7"/>
        <v>0</v>
      </c>
      <c r="L48" s="192">
        <f t="shared" si="7"/>
        <v>0</v>
      </c>
      <c r="M48" s="192">
        <f t="shared" si="7"/>
        <v>0</v>
      </c>
      <c r="N48" s="192">
        <f t="shared" si="7"/>
        <v>0</v>
      </c>
      <c r="O48" s="193">
        <f t="shared" si="7"/>
        <v>0</v>
      </c>
    </row>
    <row r="49" spans="1:15">
      <c r="A49" s="201" t="s">
        <v>539</v>
      </c>
      <c r="B49" s="188"/>
      <c r="C49" s="190"/>
      <c r="D49" s="188"/>
      <c r="E49" s="189"/>
      <c r="F49" s="189"/>
      <c r="G49" s="189"/>
      <c r="H49" s="189"/>
      <c r="I49" s="189"/>
      <c r="J49" s="190"/>
      <c r="K49" s="189"/>
      <c r="L49" s="189"/>
      <c r="M49" s="189"/>
      <c r="N49" s="189"/>
      <c r="O49" s="190"/>
    </row>
    <row r="50" spans="1:15">
      <c r="A50" s="201" t="s">
        <v>475</v>
      </c>
      <c r="B50" s="188"/>
      <c r="C50" s="190"/>
      <c r="D50" s="188"/>
      <c r="E50" s="189"/>
      <c r="F50" s="189"/>
      <c r="G50" s="189"/>
      <c r="H50" s="189"/>
      <c r="I50" s="189"/>
      <c r="J50" s="190"/>
      <c r="K50" s="189"/>
      <c r="L50" s="189"/>
      <c r="M50" s="189"/>
      <c r="N50" s="189"/>
      <c r="O50" s="190"/>
    </row>
    <row r="51" spans="1:15" s="277" customFormat="1">
      <c r="A51" s="278" t="s">
        <v>770</v>
      </c>
      <c r="B51" s="279">
        <f t="shared" ref="B51:O51" si="8">B3+B4+B8-B22</f>
        <v>104704.46399999975</v>
      </c>
      <c r="C51" s="280">
        <f t="shared" si="8"/>
        <v>28497.512000000002</v>
      </c>
      <c r="D51" s="279">
        <f t="shared" si="8"/>
        <v>-4174.3540000000003</v>
      </c>
      <c r="E51" s="281">
        <f>E3+E4+E8-E22</f>
        <v>-2865839.3259999999</v>
      </c>
      <c r="F51" s="281">
        <f t="shared" si="8"/>
        <v>4580.7610000000004</v>
      </c>
      <c r="G51" s="281">
        <f t="shared" si="8"/>
        <v>807000</v>
      </c>
      <c r="H51" s="281">
        <f t="shared" si="8"/>
        <v>8721.098</v>
      </c>
      <c r="I51" s="281">
        <f t="shared" si="8"/>
        <v>47.939999999944121</v>
      </c>
      <c r="J51" s="280" t="e">
        <f t="shared" si="8"/>
        <v>#REF!</v>
      </c>
      <c r="K51" s="281">
        <f t="shared" si="8"/>
        <v>-96441.486000000004</v>
      </c>
      <c r="L51" s="281">
        <f t="shared" si="8"/>
        <v>34587.103999999992</v>
      </c>
      <c r="M51" s="281">
        <f t="shared" si="8"/>
        <v>-714220.50600000005</v>
      </c>
      <c r="N51" s="281" t="e">
        <f t="shared" si="8"/>
        <v>#REF!</v>
      </c>
      <c r="O51" s="280" t="e">
        <f t="shared" si="8"/>
        <v>#REF!</v>
      </c>
    </row>
    <row r="52" spans="1:15" s="277" customFormat="1" ht="15.75" thickBot="1">
      <c r="A52" s="282" t="s">
        <v>542</v>
      </c>
      <c r="B52" s="283">
        <v>-200000</v>
      </c>
      <c r="C52" s="284">
        <v>0</v>
      </c>
      <c r="D52" s="283">
        <v>0</v>
      </c>
      <c r="E52" s="285">
        <v>-1125000</v>
      </c>
      <c r="F52" s="285">
        <v>0</v>
      </c>
      <c r="G52" s="285">
        <v>-250000</v>
      </c>
      <c r="H52" s="285">
        <v>0</v>
      </c>
      <c r="I52" s="285">
        <v>0</v>
      </c>
      <c r="J52" s="284">
        <v>0</v>
      </c>
      <c r="K52" s="285">
        <v>-200000</v>
      </c>
      <c r="L52" s="285">
        <v>0</v>
      </c>
      <c r="M52" s="285">
        <v>-420000</v>
      </c>
      <c r="N52" s="285">
        <v>0</v>
      </c>
      <c r="O52" s="284">
        <v>0</v>
      </c>
    </row>
    <row r="53" spans="1:15">
      <c r="A53" s="165"/>
    </row>
    <row r="54" spans="1:15">
      <c r="A54" s="165"/>
    </row>
    <row r="55" spans="1:15">
      <c r="A55" s="165"/>
    </row>
    <row r="56" spans="1:15">
      <c r="A56" s="165"/>
    </row>
    <row r="57" spans="1:15">
      <c r="A57" s="165"/>
    </row>
    <row r="64" spans="1:15">
      <c r="G64" s="251"/>
    </row>
  </sheetData>
  <mergeCells count="3">
    <mergeCell ref="B1:C1"/>
    <mergeCell ref="D1:J1"/>
    <mergeCell ref="K1:O1"/>
  </mergeCells>
  <pageMargins left="0" right="0" top="0" bottom="0" header="0" footer="0"/>
  <pageSetup paperSize="9" scale="69" orientation="landscape" horizontalDpi="180" verticalDpi="180" r:id="rId1"/>
  <ignoredErrors>
    <ignoredError sqref="G12" formulaRange="1"/>
    <ignoredError sqref="E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4"/>
  <sheetViews>
    <sheetView workbookViewId="0">
      <pane ySplit="2" topLeftCell="A3" activePane="bottomLeft" state="frozen"/>
      <selection activeCell="D38" sqref="D38"/>
      <selection pane="bottomLeft" activeCell="D38" sqref="D38"/>
    </sheetView>
  </sheetViews>
  <sheetFormatPr baseColWidth="10" defaultRowHeight="15"/>
  <cols>
    <col min="1" max="1" width="20.5703125" style="163" bestFit="1" customWidth="1"/>
    <col min="2" max="15" width="13.42578125" style="167" customWidth="1"/>
    <col min="16" max="16384" width="11.42578125" style="163"/>
  </cols>
  <sheetData>
    <row r="1" spans="1:15" s="164" customFormat="1" ht="15" customHeight="1" thickBot="1">
      <c r="B1" s="665" t="s">
        <v>511</v>
      </c>
      <c r="C1" s="666"/>
      <c r="D1" s="665" t="s">
        <v>430</v>
      </c>
      <c r="E1" s="667"/>
      <c r="F1" s="667"/>
      <c r="G1" s="667"/>
      <c r="H1" s="667"/>
      <c r="I1" s="667"/>
      <c r="J1" s="666"/>
      <c r="K1" s="667" t="s">
        <v>432</v>
      </c>
      <c r="L1" s="667"/>
      <c r="M1" s="667"/>
      <c r="N1" s="667"/>
      <c r="O1" s="666"/>
    </row>
    <row r="2" spans="1:15" ht="15.75" thickBot="1">
      <c r="B2" s="213" t="s">
        <v>512</v>
      </c>
      <c r="C2" s="214" t="s">
        <v>515</v>
      </c>
      <c r="D2" s="213" t="s">
        <v>524</v>
      </c>
      <c r="E2" s="215" t="s">
        <v>512</v>
      </c>
      <c r="F2" s="215" t="s">
        <v>546</v>
      </c>
      <c r="G2" s="215" t="s">
        <v>547</v>
      </c>
      <c r="H2" s="215" t="s">
        <v>548</v>
      </c>
      <c r="I2" s="215" t="s">
        <v>516</v>
      </c>
      <c r="J2" s="214" t="s">
        <v>517</v>
      </c>
      <c r="K2" s="216" t="s">
        <v>548</v>
      </c>
      <c r="L2" s="215" t="s">
        <v>519</v>
      </c>
      <c r="M2" s="215" t="s">
        <v>518</v>
      </c>
      <c r="N2" s="215" t="s">
        <v>516</v>
      </c>
      <c r="O2" s="214" t="s">
        <v>517</v>
      </c>
    </row>
    <row r="3" spans="1:15" s="277" customFormat="1">
      <c r="A3" s="273" t="s">
        <v>679</v>
      </c>
      <c r="B3" s="274">
        <v>148608.11300000001</v>
      </c>
      <c r="C3" s="275">
        <v>35212.576000000001</v>
      </c>
      <c r="D3" s="274">
        <f>136491.938</f>
        <v>136491.93799999999</v>
      </c>
      <c r="E3" s="276">
        <v>-1686866.456</v>
      </c>
      <c r="F3" s="276">
        <v>163347.40100000001</v>
      </c>
      <c r="G3" s="276">
        <v>7000</v>
      </c>
      <c r="H3" s="276">
        <v>30109.866000000002</v>
      </c>
      <c r="I3" s="276">
        <v>368043.12</v>
      </c>
      <c r="J3" s="275">
        <v>27515.89</v>
      </c>
      <c r="K3" s="276">
        <v>-52558.43</v>
      </c>
      <c r="L3" s="276">
        <v>-293023.53399999999</v>
      </c>
      <c r="M3" s="276">
        <v>-935862.89099999995</v>
      </c>
      <c r="N3" s="276">
        <v>83302.649999999994</v>
      </c>
      <c r="O3" s="275">
        <v>134468.87</v>
      </c>
    </row>
    <row r="4" spans="1:15" s="165" customFormat="1" ht="12.75">
      <c r="A4" s="196" t="s">
        <v>520</v>
      </c>
      <c r="B4" s="170">
        <f>SUM(B5:B7)</f>
        <v>63142.614999999998</v>
      </c>
      <c r="C4" s="172">
        <f t="shared" ref="C4:O4" si="0">SUM(C5:C7)</f>
        <v>0</v>
      </c>
      <c r="D4" s="170">
        <f t="shared" si="0"/>
        <v>0</v>
      </c>
      <c r="E4" s="171">
        <f>SUM(E5:E7)</f>
        <v>0</v>
      </c>
      <c r="F4" s="171">
        <f t="shared" si="0"/>
        <v>0</v>
      </c>
      <c r="G4" s="171">
        <f t="shared" si="0"/>
        <v>0</v>
      </c>
      <c r="H4" s="171">
        <f t="shared" si="0"/>
        <v>0</v>
      </c>
      <c r="I4" s="171">
        <f t="shared" si="0"/>
        <v>0</v>
      </c>
      <c r="J4" s="172">
        <f t="shared" si="0"/>
        <v>0</v>
      </c>
      <c r="K4" s="171">
        <f t="shared" si="0"/>
        <v>0</v>
      </c>
      <c r="L4" s="171">
        <f t="shared" si="0"/>
        <v>295747.658</v>
      </c>
      <c r="M4" s="171">
        <f t="shared" si="0"/>
        <v>0</v>
      </c>
      <c r="N4" s="171">
        <f t="shared" si="0"/>
        <v>0</v>
      </c>
      <c r="O4" s="172">
        <f t="shared" si="0"/>
        <v>0</v>
      </c>
    </row>
    <row r="5" spans="1:15">
      <c r="A5" s="197" t="s">
        <v>521</v>
      </c>
      <c r="B5" s="173">
        <v>3142.6149999999998</v>
      </c>
      <c r="C5" s="194"/>
      <c r="D5" s="173"/>
      <c r="E5" s="174"/>
      <c r="F5" s="174"/>
      <c r="G5" s="174"/>
      <c r="H5" s="174"/>
      <c r="I5" s="174"/>
      <c r="J5" s="175"/>
      <c r="K5" s="174"/>
      <c r="L5" s="174">
        <v>295747.658</v>
      </c>
      <c r="M5" s="174"/>
      <c r="N5" s="174"/>
      <c r="O5" s="175"/>
    </row>
    <row r="6" spans="1:15">
      <c r="A6" s="197" t="s">
        <v>522</v>
      </c>
      <c r="B6" s="173">
        <v>60000</v>
      </c>
      <c r="C6" s="194"/>
      <c r="D6" s="173"/>
      <c r="E6" s="174"/>
      <c r="F6" s="174"/>
      <c r="G6" s="174"/>
      <c r="H6" s="174"/>
      <c r="I6" s="174"/>
      <c r="J6" s="175"/>
      <c r="K6" s="174"/>
      <c r="L6" s="174"/>
      <c r="M6" s="174"/>
      <c r="N6" s="174"/>
      <c r="O6" s="175"/>
    </row>
    <row r="7" spans="1:15">
      <c r="A7" s="197" t="s">
        <v>523</v>
      </c>
      <c r="B7" s="173"/>
      <c r="C7" s="194"/>
      <c r="D7" s="173"/>
      <c r="E7" s="174"/>
      <c r="F7" s="174"/>
      <c r="G7" s="174"/>
      <c r="H7" s="174"/>
      <c r="I7" s="174"/>
      <c r="J7" s="175"/>
      <c r="K7" s="174"/>
      <c r="L7" s="174"/>
      <c r="M7" s="174"/>
      <c r="N7" s="174"/>
      <c r="O7" s="175"/>
    </row>
    <row r="8" spans="1:15">
      <c r="A8" s="198" t="s">
        <v>525</v>
      </c>
      <c r="B8" s="176">
        <f>B9+B10+B11+B12+B18+B20</f>
        <v>291726.21399999998</v>
      </c>
      <c r="C8" s="178">
        <f t="shared" ref="C8:O8" si="1">C9+C10+C11+C12+C18+C20</f>
        <v>25894.407999999996</v>
      </c>
      <c r="D8" s="176">
        <f t="shared" si="1"/>
        <v>0</v>
      </c>
      <c r="E8" s="177">
        <f>E9+E10+E11+E12+E18+E20+E19</f>
        <v>131300</v>
      </c>
      <c r="F8" s="177">
        <f t="shared" si="1"/>
        <v>0</v>
      </c>
      <c r="G8" s="177">
        <f t="shared" si="1"/>
        <v>800000</v>
      </c>
      <c r="H8" s="177">
        <f t="shared" si="1"/>
        <v>0</v>
      </c>
      <c r="I8" s="177">
        <f t="shared" si="1"/>
        <v>130000</v>
      </c>
      <c r="J8" s="178" t="e">
        <f t="shared" si="1"/>
        <v>#REF!</v>
      </c>
      <c r="K8" s="177">
        <f t="shared" si="1"/>
        <v>0</v>
      </c>
      <c r="L8" s="177">
        <f t="shared" si="1"/>
        <v>0</v>
      </c>
      <c r="M8" s="177">
        <f t="shared" si="1"/>
        <v>505000</v>
      </c>
      <c r="N8" s="177">
        <f t="shared" si="1"/>
        <v>0</v>
      </c>
      <c r="O8" s="178">
        <f t="shared" si="1"/>
        <v>0</v>
      </c>
    </row>
    <row r="9" spans="1:15">
      <c r="A9" s="197" t="s">
        <v>521</v>
      </c>
      <c r="B9" s="173">
        <f>20068.406+37900.209+23983.438+21728.644+148545.517</f>
        <v>252226.21399999998</v>
      </c>
      <c r="C9" s="194">
        <f>4221.461+4733.372</f>
        <v>8954.8330000000005</v>
      </c>
      <c r="D9" s="173"/>
      <c r="E9" s="174"/>
      <c r="F9" s="174"/>
      <c r="G9" s="174"/>
      <c r="H9" s="174"/>
      <c r="I9" s="174"/>
      <c r="J9" s="175"/>
      <c r="K9" s="174"/>
      <c r="L9" s="174"/>
      <c r="M9" s="174">
        <v>200000</v>
      </c>
      <c r="N9" s="174"/>
      <c r="O9" s="175"/>
    </row>
    <row r="10" spans="1:15">
      <c r="A10" s="197" t="s">
        <v>555</v>
      </c>
      <c r="B10" s="173"/>
      <c r="C10" s="194">
        <f>7321.829+9617.746</f>
        <v>16939.574999999997</v>
      </c>
      <c r="D10" s="173"/>
      <c r="E10" s="174"/>
      <c r="F10" s="174"/>
      <c r="G10" s="174"/>
      <c r="H10" s="174"/>
      <c r="I10" s="174"/>
      <c r="J10" s="175"/>
      <c r="K10" s="174"/>
      <c r="L10" s="174"/>
      <c r="M10" s="174"/>
      <c r="N10" s="174"/>
      <c r="O10" s="175"/>
    </row>
    <row r="11" spans="1:15">
      <c r="A11" s="197" t="s">
        <v>522</v>
      </c>
      <c r="B11" s="173"/>
      <c r="C11" s="194"/>
      <c r="D11" s="173"/>
      <c r="E11" s="174"/>
      <c r="F11" s="174"/>
      <c r="G11" s="174"/>
      <c r="H11" s="174"/>
      <c r="I11" s="174"/>
      <c r="J11" s="175"/>
      <c r="K11" s="174"/>
      <c r="L11" s="174"/>
      <c r="M11" s="174"/>
      <c r="N11" s="174"/>
      <c r="O11" s="175"/>
    </row>
    <row r="12" spans="1:15" s="164" customFormat="1" ht="14.25">
      <c r="A12" s="206" t="s">
        <v>523</v>
      </c>
      <c r="B12" s="168">
        <v>39500</v>
      </c>
      <c r="C12" s="169"/>
      <c r="D12" s="191">
        <f t="shared" ref="D12:I12" si="2">SUM(D13:D17)</f>
        <v>0</v>
      </c>
      <c r="E12" s="192">
        <f t="shared" si="2"/>
        <v>131300</v>
      </c>
      <c r="F12" s="192">
        <v>0</v>
      </c>
      <c r="G12" s="192">
        <f t="shared" si="2"/>
        <v>0</v>
      </c>
      <c r="H12" s="192">
        <f t="shared" si="2"/>
        <v>0</v>
      </c>
      <c r="I12" s="192">
        <f t="shared" si="2"/>
        <v>130000</v>
      </c>
      <c r="J12" s="193" t="e">
        <f t="shared" ref="J12:O12" si="3">SUM(J13:J17)</f>
        <v>#REF!</v>
      </c>
      <c r="K12" s="192">
        <f t="shared" si="3"/>
        <v>0</v>
      </c>
      <c r="L12" s="192">
        <f t="shared" si="3"/>
        <v>0</v>
      </c>
      <c r="M12" s="192">
        <f t="shared" si="3"/>
        <v>0</v>
      </c>
      <c r="N12" s="192">
        <f t="shared" si="3"/>
        <v>0</v>
      </c>
      <c r="O12" s="193">
        <f t="shared" si="3"/>
        <v>0</v>
      </c>
    </row>
    <row r="13" spans="1:15">
      <c r="A13" s="212" t="s">
        <v>558</v>
      </c>
      <c r="B13" s="168"/>
      <c r="C13" s="169"/>
      <c r="D13" s="168"/>
      <c r="E13" s="174">
        <f>I46*2.2175+J46*2.02</f>
        <v>131300</v>
      </c>
      <c r="F13" s="174"/>
      <c r="G13" s="174"/>
      <c r="H13" s="174"/>
      <c r="I13" s="174"/>
      <c r="J13" s="175"/>
      <c r="K13" s="174"/>
      <c r="L13" s="174"/>
      <c r="M13" s="174">
        <f>+O44*2.02+N44*2.2175</f>
        <v>0</v>
      </c>
      <c r="N13" s="174"/>
      <c r="O13" s="175"/>
    </row>
    <row r="14" spans="1:15">
      <c r="A14" s="212" t="s">
        <v>513</v>
      </c>
      <c r="B14" s="168"/>
      <c r="C14" s="169"/>
      <c r="D14" s="168"/>
      <c r="E14" s="174"/>
      <c r="F14" s="174"/>
      <c r="G14" s="174"/>
      <c r="H14" s="174"/>
      <c r="I14" s="174"/>
      <c r="J14" s="175" t="e">
        <f>EXPORT!#REF!+EXPORT!#REF!</f>
        <v>#REF!</v>
      </c>
      <c r="K14" s="174"/>
      <c r="L14" s="174"/>
      <c r="M14" s="174"/>
      <c r="N14" s="174"/>
      <c r="O14" s="175"/>
    </row>
    <row r="15" spans="1:15">
      <c r="A15" s="212" t="s">
        <v>514</v>
      </c>
      <c r="B15" s="168"/>
      <c r="C15" s="169"/>
      <c r="D15" s="168"/>
      <c r="E15" s="174"/>
      <c r="F15" s="174"/>
      <c r="G15" s="174"/>
      <c r="H15" s="174"/>
      <c r="I15" s="174"/>
      <c r="J15" s="175"/>
      <c r="K15" s="174"/>
      <c r="L15" s="174"/>
      <c r="M15" s="174"/>
      <c r="N15" s="174"/>
      <c r="O15" s="175"/>
    </row>
    <row r="16" spans="1:15">
      <c r="A16" s="212" t="s">
        <v>556</v>
      </c>
      <c r="B16" s="168"/>
      <c r="C16" s="169"/>
      <c r="D16" s="168"/>
      <c r="E16" s="174"/>
      <c r="F16" s="174"/>
      <c r="G16" s="174"/>
      <c r="H16" s="174"/>
      <c r="I16" s="174">
        <v>30000</v>
      </c>
      <c r="J16" s="175"/>
      <c r="K16" s="174"/>
      <c r="L16" s="174"/>
      <c r="M16" s="174"/>
      <c r="N16" s="174"/>
      <c r="O16" s="175"/>
    </row>
    <row r="17" spans="1:15">
      <c r="A17" s="212" t="s">
        <v>557</v>
      </c>
      <c r="B17" s="168"/>
      <c r="C17" s="169"/>
      <c r="D17" s="168"/>
      <c r="E17" s="174"/>
      <c r="F17" s="174"/>
      <c r="G17" s="174"/>
      <c r="H17" s="174"/>
      <c r="I17" s="174">
        <f>100000</f>
        <v>100000</v>
      </c>
      <c r="J17" s="175"/>
      <c r="K17" s="174"/>
      <c r="L17" s="174"/>
      <c r="M17" s="174"/>
      <c r="N17" s="174"/>
      <c r="O17" s="175"/>
    </row>
    <row r="18" spans="1:15">
      <c r="A18" s="197" t="s">
        <v>549</v>
      </c>
      <c r="B18" s="168"/>
      <c r="C18" s="169"/>
      <c r="D18" s="168"/>
      <c r="E18" s="174"/>
      <c r="F18" s="174"/>
      <c r="G18" s="174">
        <v>800000</v>
      </c>
      <c r="H18" s="174"/>
      <c r="I18" s="174"/>
      <c r="J18" s="175"/>
      <c r="K18" s="174"/>
      <c r="L18" s="174"/>
      <c r="M18" s="174"/>
      <c r="N18" s="174"/>
      <c r="O18" s="175"/>
    </row>
    <row r="19" spans="1:15">
      <c r="A19" s="197" t="s">
        <v>621</v>
      </c>
      <c r="B19" s="168"/>
      <c r="C19" s="169"/>
      <c r="D19" s="168"/>
      <c r="E19" s="174"/>
      <c r="F19" s="174"/>
      <c r="G19" s="174"/>
      <c r="H19" s="174"/>
      <c r="I19" s="174"/>
      <c r="J19" s="175"/>
      <c r="K19" s="174"/>
      <c r="L19" s="174"/>
      <c r="M19" s="174"/>
      <c r="N19" s="174"/>
      <c r="O19" s="175"/>
    </row>
    <row r="20" spans="1:15">
      <c r="A20" s="197" t="s">
        <v>475</v>
      </c>
      <c r="B20" s="168"/>
      <c r="C20" s="169"/>
      <c r="D20" s="168"/>
      <c r="E20" s="174"/>
      <c r="F20" s="174"/>
      <c r="G20" s="174"/>
      <c r="H20" s="174"/>
      <c r="I20" s="174"/>
      <c r="J20" s="175"/>
      <c r="K20" s="174"/>
      <c r="L20" s="174"/>
      <c r="M20" s="174">
        <f>EXPORT!H5</f>
        <v>305000</v>
      </c>
      <c r="N20" s="174"/>
      <c r="O20" s="175"/>
    </row>
    <row r="21" spans="1:15">
      <c r="A21" s="207" t="s">
        <v>539</v>
      </c>
      <c r="B21" s="208"/>
      <c r="C21" s="209"/>
      <c r="D21" s="208"/>
      <c r="E21" s="210">
        <v>3500000</v>
      </c>
      <c r="F21" s="210"/>
      <c r="G21" s="210">
        <v>2000000</v>
      </c>
      <c r="H21" s="210"/>
      <c r="I21" s="210"/>
      <c r="J21" s="211"/>
      <c r="K21" s="210"/>
      <c r="L21" s="210"/>
      <c r="M21" s="210"/>
      <c r="N21" s="210"/>
      <c r="O21" s="211"/>
    </row>
    <row r="22" spans="1:15">
      <c r="A22" s="199" t="s">
        <v>526</v>
      </c>
      <c r="B22" s="179">
        <f>B23+B37+B48</f>
        <v>471181.04399999999</v>
      </c>
      <c r="C22" s="181">
        <f t="shared" ref="C22:O22" si="4">C23+C37+C48</f>
        <v>35000</v>
      </c>
      <c r="D22" s="179">
        <f t="shared" si="4"/>
        <v>11640</v>
      </c>
      <c r="E22" s="180">
        <f t="shared" si="4"/>
        <v>160676.24400000001</v>
      </c>
      <c r="F22" s="180">
        <f t="shared" si="4"/>
        <v>0</v>
      </c>
      <c r="G22" s="180">
        <f t="shared" si="4"/>
        <v>0</v>
      </c>
      <c r="H22" s="180">
        <f t="shared" si="4"/>
        <v>0</v>
      </c>
      <c r="I22" s="180" t="e">
        <f t="shared" si="4"/>
        <v>#REF!</v>
      </c>
      <c r="J22" s="181">
        <f t="shared" si="4"/>
        <v>157868.97</v>
      </c>
      <c r="K22" s="180">
        <f t="shared" si="4"/>
        <v>0</v>
      </c>
      <c r="L22" s="180">
        <f t="shared" si="4"/>
        <v>0</v>
      </c>
      <c r="M22" s="180" t="e">
        <f t="shared" si="4"/>
        <v>#REF!</v>
      </c>
      <c r="N22" s="180" t="e">
        <f t="shared" si="4"/>
        <v>#REF!</v>
      </c>
      <c r="O22" s="181">
        <f t="shared" si="4"/>
        <v>0</v>
      </c>
    </row>
    <row r="23" spans="1:15" s="164" customFormat="1" ht="14.25">
      <c r="A23" s="200" t="s">
        <v>535</v>
      </c>
      <c r="B23" s="182">
        <f>SUM(B24:B36)</f>
        <v>0</v>
      </c>
      <c r="C23" s="184">
        <f t="shared" ref="C23:O23" si="5">SUM(C24:C36)</f>
        <v>0</v>
      </c>
      <c r="D23" s="182">
        <f t="shared" si="5"/>
        <v>0</v>
      </c>
      <c r="E23" s="183">
        <f t="shared" si="5"/>
        <v>0</v>
      </c>
      <c r="F23" s="183">
        <f t="shared" si="5"/>
        <v>0</v>
      </c>
      <c r="G23" s="183">
        <f t="shared" si="5"/>
        <v>0</v>
      </c>
      <c r="H23" s="183">
        <f t="shared" si="5"/>
        <v>0</v>
      </c>
      <c r="I23" s="183" t="e">
        <f t="shared" si="5"/>
        <v>#REF!</v>
      </c>
      <c r="J23" s="184">
        <f t="shared" si="5"/>
        <v>92868.97</v>
      </c>
      <c r="K23" s="183">
        <f t="shared" si="5"/>
        <v>0</v>
      </c>
      <c r="L23" s="183">
        <f t="shared" si="5"/>
        <v>0</v>
      </c>
      <c r="M23" s="183">
        <f t="shared" si="5"/>
        <v>0</v>
      </c>
      <c r="N23" s="183" t="e">
        <f t="shared" si="5"/>
        <v>#REF!</v>
      </c>
      <c r="O23" s="184">
        <f t="shared" si="5"/>
        <v>0</v>
      </c>
    </row>
    <row r="24" spans="1:15" s="165" customFormat="1" ht="12.75">
      <c r="A24" s="201" t="s">
        <v>531</v>
      </c>
      <c r="B24" s="185"/>
      <c r="C24" s="195"/>
      <c r="D24" s="185"/>
      <c r="E24" s="186"/>
      <c r="F24" s="186"/>
      <c r="G24" s="186"/>
      <c r="H24" s="186"/>
      <c r="I24" s="186">
        <v>328099.53000000003</v>
      </c>
      <c r="J24" s="187"/>
      <c r="K24" s="186"/>
      <c r="L24" s="186"/>
      <c r="M24" s="186"/>
      <c r="N24" s="186"/>
      <c r="O24" s="187"/>
    </row>
    <row r="25" spans="1:15" s="165" customFormat="1" ht="12.75">
      <c r="A25" s="201" t="s">
        <v>616</v>
      </c>
      <c r="B25" s="185"/>
      <c r="C25" s="195"/>
      <c r="D25" s="185"/>
      <c r="E25" s="186"/>
      <c r="F25" s="186"/>
      <c r="G25" s="186"/>
      <c r="H25" s="186"/>
      <c r="I25" s="186"/>
      <c r="J25" s="187"/>
      <c r="K25" s="186"/>
      <c r="L25" s="186"/>
      <c r="M25" s="186"/>
      <c r="N25" s="186"/>
      <c r="O25" s="187"/>
    </row>
    <row r="26" spans="1:15" s="165" customFormat="1" ht="12.75">
      <c r="A26" s="201" t="s">
        <v>550</v>
      </c>
      <c r="B26" s="185"/>
      <c r="C26" s="195"/>
      <c r="D26" s="185"/>
      <c r="E26" s="186"/>
      <c r="F26" s="186"/>
      <c r="G26" s="186"/>
      <c r="H26" s="186"/>
      <c r="I26" s="186"/>
      <c r="J26" s="187">
        <v>92868.97</v>
      </c>
      <c r="K26" s="186"/>
      <c r="L26" s="186"/>
      <c r="M26" s="186"/>
      <c r="N26" s="186"/>
      <c r="O26" s="187"/>
    </row>
    <row r="27" spans="1:15" s="165" customFormat="1" ht="12.75">
      <c r="A27" s="201" t="s">
        <v>657</v>
      </c>
      <c r="B27" s="185"/>
      <c r="C27" s="195"/>
      <c r="D27" s="185"/>
      <c r="E27" s="186"/>
      <c r="F27" s="186"/>
      <c r="G27" s="186"/>
      <c r="H27" s="186"/>
      <c r="I27" s="186" t="e">
        <f>Etranger!#REF!</f>
        <v>#REF!</v>
      </c>
      <c r="J27" s="187"/>
      <c r="K27" s="186"/>
      <c r="L27" s="186"/>
      <c r="M27" s="186"/>
      <c r="N27" s="186"/>
      <c r="O27" s="187"/>
    </row>
    <row r="28" spans="1:15" s="165" customFormat="1" ht="12.75">
      <c r="A28" s="201" t="s">
        <v>553</v>
      </c>
      <c r="B28" s="185"/>
      <c r="C28" s="195"/>
      <c r="D28" s="185"/>
      <c r="E28" s="186"/>
      <c r="F28" s="186"/>
      <c r="G28" s="186"/>
      <c r="H28" s="186"/>
      <c r="I28" s="186"/>
      <c r="J28" s="187"/>
      <c r="K28" s="186"/>
      <c r="L28" s="186"/>
      <c r="M28" s="186"/>
      <c r="N28" s="186"/>
      <c r="O28" s="187"/>
    </row>
    <row r="29" spans="1:15" s="165" customFormat="1" ht="12.75">
      <c r="A29" s="201" t="s">
        <v>554</v>
      </c>
      <c r="B29" s="185"/>
      <c r="C29" s="195"/>
      <c r="D29" s="185"/>
      <c r="E29" s="186"/>
      <c r="F29" s="186"/>
      <c r="G29" s="186"/>
      <c r="H29" s="186"/>
      <c r="I29" s="186" t="e">
        <f>Etranger!#REF!*1.36567</f>
        <v>#REF!</v>
      </c>
      <c r="J29" s="187"/>
      <c r="K29" s="186"/>
      <c r="L29" s="186"/>
      <c r="M29" s="186"/>
      <c r="N29" s="186"/>
      <c r="O29" s="187"/>
    </row>
    <row r="30" spans="1:15" s="165" customFormat="1" ht="12.75">
      <c r="A30" s="201" t="s">
        <v>532</v>
      </c>
      <c r="B30" s="185"/>
      <c r="C30" s="195"/>
      <c r="D30" s="185"/>
      <c r="E30" s="186"/>
      <c r="F30" s="186"/>
      <c r="G30" s="186"/>
      <c r="H30" s="186"/>
      <c r="I30" s="186"/>
      <c r="J30" s="187"/>
      <c r="K30" s="186"/>
      <c r="L30" s="186"/>
      <c r="M30" s="186"/>
      <c r="N30" s="186" t="e">
        <f>Etranger!#REF!</f>
        <v>#REF!</v>
      </c>
      <c r="O30" s="187"/>
    </row>
    <row r="31" spans="1:15" s="165" customFormat="1" ht="12.75">
      <c r="A31" s="201" t="s">
        <v>533</v>
      </c>
      <c r="B31" s="185"/>
      <c r="C31" s="195"/>
      <c r="D31" s="185"/>
      <c r="E31" s="186"/>
      <c r="F31" s="186"/>
      <c r="G31" s="186"/>
      <c r="H31" s="186"/>
      <c r="I31" s="186"/>
      <c r="J31" s="187"/>
      <c r="K31" s="186"/>
      <c r="L31" s="186"/>
      <c r="M31" s="186"/>
      <c r="N31" s="186" t="e">
        <f>Etranger!#REF!</f>
        <v>#REF!</v>
      </c>
      <c r="O31" s="187"/>
    </row>
    <row r="32" spans="1:15" s="165" customFormat="1" ht="12.75">
      <c r="A32" s="201" t="s">
        <v>545</v>
      </c>
      <c r="B32" s="185"/>
      <c r="C32" s="195"/>
      <c r="D32" s="185"/>
      <c r="E32" s="186"/>
      <c r="F32" s="186"/>
      <c r="G32" s="186"/>
      <c r="H32" s="186"/>
      <c r="I32" s="186"/>
      <c r="J32" s="187"/>
      <c r="K32" s="186"/>
      <c r="L32" s="186"/>
      <c r="M32" s="186"/>
      <c r="N32" s="186"/>
      <c r="O32" s="187"/>
    </row>
    <row r="33" spans="1:15" s="165" customFormat="1" ht="12.75">
      <c r="A33" s="201" t="s">
        <v>534</v>
      </c>
      <c r="B33" s="185"/>
      <c r="C33" s="195"/>
      <c r="D33" s="185"/>
      <c r="E33" s="186"/>
      <c r="F33" s="186"/>
      <c r="G33" s="186"/>
      <c r="H33" s="186"/>
      <c r="I33" s="186"/>
      <c r="J33" s="187"/>
      <c r="K33" s="186"/>
      <c r="L33" s="186"/>
      <c r="M33" s="186"/>
      <c r="N33" s="186"/>
      <c r="O33" s="187"/>
    </row>
    <row r="34" spans="1:15" s="165" customFormat="1" ht="12.75">
      <c r="A34" s="201" t="s">
        <v>536</v>
      </c>
      <c r="B34" s="185"/>
      <c r="C34" s="195"/>
      <c r="D34" s="185"/>
      <c r="E34" s="186"/>
      <c r="F34" s="186"/>
      <c r="G34" s="186"/>
      <c r="H34" s="186"/>
      <c r="I34" s="186"/>
      <c r="J34" s="187"/>
      <c r="K34" s="186"/>
      <c r="L34" s="186"/>
      <c r="M34" s="186"/>
      <c r="N34" s="186"/>
      <c r="O34" s="187"/>
    </row>
    <row r="35" spans="1:15" s="165" customFormat="1" ht="12.75">
      <c r="A35" s="201" t="s">
        <v>541</v>
      </c>
      <c r="B35" s="185"/>
      <c r="C35" s="195"/>
      <c r="D35" s="185"/>
      <c r="E35" s="186"/>
      <c r="F35" s="186"/>
      <c r="G35" s="186"/>
      <c r="H35" s="186"/>
      <c r="I35" s="186"/>
      <c r="J35" s="187"/>
      <c r="K35" s="186"/>
      <c r="L35" s="186"/>
      <c r="M35" s="186"/>
      <c r="N35" s="186"/>
      <c r="O35" s="187"/>
    </row>
    <row r="36" spans="1:15" s="165" customFormat="1" ht="12.75">
      <c r="A36" s="201" t="s">
        <v>537</v>
      </c>
      <c r="B36" s="185"/>
      <c r="C36" s="195"/>
      <c r="D36" s="185"/>
      <c r="E36" s="186"/>
      <c r="F36" s="186"/>
      <c r="G36" s="186"/>
      <c r="H36" s="186"/>
      <c r="I36" s="186"/>
      <c r="J36" s="187"/>
      <c r="K36" s="186"/>
      <c r="L36" s="186"/>
      <c r="M36" s="186"/>
      <c r="N36" s="186"/>
      <c r="O36" s="187"/>
    </row>
    <row r="37" spans="1:15" s="164" customFormat="1" ht="14.25">
      <c r="A37" s="202" t="s">
        <v>538</v>
      </c>
      <c r="B37" s="182">
        <f>SUM(B38:B47)</f>
        <v>471181.04399999999</v>
      </c>
      <c r="C37" s="184">
        <f t="shared" ref="C37:O37" si="6">SUM(C38:C47)</f>
        <v>35000</v>
      </c>
      <c r="D37" s="182">
        <f t="shared" si="6"/>
        <v>0</v>
      </c>
      <c r="E37" s="183">
        <f t="shared" si="6"/>
        <v>84129.244000000006</v>
      </c>
      <c r="F37" s="183">
        <f t="shared" si="6"/>
        <v>0</v>
      </c>
      <c r="G37" s="183">
        <f t="shared" si="6"/>
        <v>0</v>
      </c>
      <c r="H37" s="183">
        <f t="shared" si="6"/>
        <v>0</v>
      </c>
      <c r="I37" s="183">
        <f t="shared" si="6"/>
        <v>0</v>
      </c>
      <c r="J37" s="184">
        <f t="shared" si="6"/>
        <v>65000</v>
      </c>
      <c r="K37" s="183">
        <f t="shared" si="6"/>
        <v>0</v>
      </c>
      <c r="L37" s="183">
        <f t="shared" si="6"/>
        <v>0</v>
      </c>
      <c r="M37" s="183">
        <f t="shared" si="6"/>
        <v>37921.279999999999</v>
      </c>
      <c r="N37" s="183">
        <f t="shared" si="6"/>
        <v>0</v>
      </c>
      <c r="O37" s="184">
        <f t="shared" si="6"/>
        <v>0</v>
      </c>
    </row>
    <row r="38" spans="1:15">
      <c r="A38" s="201" t="s">
        <v>527</v>
      </c>
      <c r="B38" s="188">
        <v>41596.044000000002</v>
      </c>
      <c r="C38" s="190"/>
      <c r="D38" s="188"/>
      <c r="E38" s="189">
        <v>80009.244000000006</v>
      </c>
      <c r="F38" s="189"/>
      <c r="G38" s="189"/>
      <c r="H38" s="189"/>
      <c r="I38" s="189"/>
      <c r="J38" s="190"/>
      <c r="K38" s="189"/>
      <c r="L38" s="189"/>
      <c r="M38" s="189">
        <v>37041.279999999999</v>
      </c>
      <c r="N38" s="189"/>
      <c r="O38" s="190"/>
    </row>
    <row r="39" spans="1:15">
      <c r="A39" s="201" t="s">
        <v>528</v>
      </c>
      <c r="B39" s="188"/>
      <c r="C39" s="190"/>
      <c r="D39" s="188"/>
      <c r="E39" s="189"/>
      <c r="F39" s="189"/>
      <c r="G39" s="189"/>
      <c r="H39" s="189"/>
      <c r="I39" s="189"/>
      <c r="J39" s="190"/>
      <c r="K39" s="189"/>
      <c r="L39" s="189"/>
      <c r="M39" s="189"/>
      <c r="N39" s="189"/>
      <c r="O39" s="190"/>
    </row>
    <row r="40" spans="1:15">
      <c r="A40" s="201" t="s">
        <v>529</v>
      </c>
      <c r="B40" s="188"/>
      <c r="C40" s="190"/>
      <c r="D40" s="188"/>
      <c r="E40" s="189"/>
      <c r="F40" s="189"/>
      <c r="G40" s="189"/>
      <c r="H40" s="189"/>
      <c r="I40" s="189"/>
      <c r="J40" s="190"/>
      <c r="K40" s="189"/>
      <c r="L40" s="189"/>
      <c r="M40" s="189"/>
      <c r="N40" s="189"/>
      <c r="O40" s="190"/>
    </row>
    <row r="41" spans="1:15">
      <c r="A41" s="201" t="s">
        <v>559</v>
      </c>
      <c r="B41" s="188">
        <v>9585</v>
      </c>
      <c r="C41" s="190"/>
      <c r="D41" s="188"/>
      <c r="E41" s="189">
        <v>4120</v>
      </c>
      <c r="F41" s="189"/>
      <c r="G41" s="189"/>
      <c r="H41" s="189"/>
      <c r="I41" s="189"/>
      <c r="J41" s="190"/>
      <c r="K41" s="189"/>
      <c r="L41" s="189"/>
      <c r="M41" s="189">
        <v>880</v>
      </c>
      <c r="N41" s="189"/>
      <c r="O41" s="190"/>
    </row>
    <row r="42" spans="1:15">
      <c r="A42" s="201" t="s">
        <v>530</v>
      </c>
      <c r="B42" s="188"/>
      <c r="C42" s="190"/>
      <c r="D42" s="188"/>
      <c r="E42" s="189"/>
      <c r="F42" s="189"/>
      <c r="G42" s="189"/>
      <c r="H42" s="189"/>
      <c r="I42" s="189"/>
      <c r="J42" s="190"/>
      <c r="K42" s="189"/>
      <c r="L42" s="189"/>
      <c r="M42" s="189"/>
      <c r="N42" s="189"/>
      <c r="O42" s="190"/>
    </row>
    <row r="43" spans="1:15">
      <c r="A43" s="201" t="s">
        <v>551</v>
      </c>
      <c r="B43" s="188">
        <v>50000</v>
      </c>
      <c r="C43" s="190"/>
      <c r="D43" s="188"/>
      <c r="E43" s="189"/>
      <c r="F43" s="189"/>
      <c r="G43" s="189"/>
      <c r="H43" s="189"/>
      <c r="I43" s="189"/>
      <c r="J43" s="190"/>
      <c r="K43" s="189"/>
      <c r="L43" s="189"/>
      <c r="M43" s="189"/>
      <c r="N43" s="189"/>
      <c r="O43" s="190"/>
    </row>
    <row r="44" spans="1:15" s="164" customFormat="1">
      <c r="A44" s="201" t="s">
        <v>432</v>
      </c>
      <c r="B44" s="188">
        <v>295000</v>
      </c>
      <c r="C44" s="190">
        <v>35000</v>
      </c>
      <c r="D44" s="188"/>
      <c r="E44" s="189"/>
      <c r="F44" s="189"/>
      <c r="G44" s="189"/>
      <c r="H44" s="189"/>
      <c r="I44" s="189"/>
      <c r="J44" s="190"/>
      <c r="K44" s="189"/>
      <c r="L44" s="189"/>
      <c r="M44" s="189"/>
      <c r="N44" s="189">
        <v>0</v>
      </c>
      <c r="O44" s="190">
        <v>0</v>
      </c>
    </row>
    <row r="45" spans="1:15" s="164" customFormat="1">
      <c r="A45" s="201" t="s">
        <v>552</v>
      </c>
      <c r="B45" s="188">
        <v>75000</v>
      </c>
      <c r="C45" s="190"/>
      <c r="D45" s="188"/>
      <c r="E45" s="189"/>
      <c r="F45" s="189"/>
      <c r="G45" s="189"/>
      <c r="H45" s="189"/>
      <c r="I45" s="189"/>
      <c r="J45" s="190"/>
      <c r="K45" s="189"/>
      <c r="L45" s="189"/>
      <c r="M45" s="189"/>
      <c r="N45" s="189"/>
      <c r="O45" s="190"/>
    </row>
    <row r="46" spans="1:15">
      <c r="A46" s="201" t="s">
        <v>430</v>
      </c>
      <c r="B46" s="188"/>
      <c r="C46" s="190"/>
      <c r="D46" s="188"/>
      <c r="E46" s="189"/>
      <c r="F46" s="189"/>
      <c r="G46" s="189"/>
      <c r="H46" s="189"/>
      <c r="I46" s="189">
        <v>0</v>
      </c>
      <c r="J46" s="190">
        <v>65000</v>
      </c>
      <c r="K46" s="189"/>
      <c r="L46" s="189"/>
      <c r="M46" s="189"/>
      <c r="N46" s="189"/>
      <c r="O46" s="190"/>
    </row>
    <row r="47" spans="1:15">
      <c r="A47" s="201" t="s">
        <v>543</v>
      </c>
      <c r="B47" s="188"/>
      <c r="C47" s="190"/>
      <c r="D47" s="188"/>
      <c r="E47" s="189"/>
      <c r="F47" s="189"/>
      <c r="G47" s="189"/>
      <c r="H47" s="189"/>
      <c r="I47" s="189"/>
      <c r="J47" s="190"/>
      <c r="K47" s="189"/>
      <c r="L47" s="189"/>
      <c r="M47" s="189"/>
      <c r="N47" s="189"/>
      <c r="O47" s="190"/>
    </row>
    <row r="48" spans="1:15" s="164" customFormat="1" ht="14.25">
      <c r="A48" s="203" t="s">
        <v>540</v>
      </c>
      <c r="B48" s="191">
        <f>SUM(B49:B50)</f>
        <v>0</v>
      </c>
      <c r="C48" s="193">
        <f t="shared" ref="C48:O48" si="7">SUM(C49:C50)</f>
        <v>0</v>
      </c>
      <c r="D48" s="191">
        <f t="shared" si="7"/>
        <v>11640</v>
      </c>
      <c r="E48" s="192">
        <f t="shared" si="7"/>
        <v>76547</v>
      </c>
      <c r="F48" s="192">
        <f t="shared" si="7"/>
        <v>0</v>
      </c>
      <c r="G48" s="192">
        <f t="shared" si="7"/>
        <v>0</v>
      </c>
      <c r="H48" s="192">
        <f t="shared" si="7"/>
        <v>0</v>
      </c>
      <c r="I48" s="192">
        <f t="shared" si="7"/>
        <v>0</v>
      </c>
      <c r="J48" s="193">
        <f t="shared" si="7"/>
        <v>0</v>
      </c>
      <c r="K48" s="192">
        <f t="shared" si="7"/>
        <v>0</v>
      </c>
      <c r="L48" s="192">
        <f t="shared" si="7"/>
        <v>0</v>
      </c>
      <c r="M48" s="192" t="e">
        <f t="shared" si="7"/>
        <v>#REF!</v>
      </c>
      <c r="N48" s="192">
        <f t="shared" si="7"/>
        <v>0</v>
      </c>
      <c r="O48" s="193">
        <f t="shared" si="7"/>
        <v>0</v>
      </c>
    </row>
    <row r="49" spans="1:15">
      <c r="A49" s="201" t="s">
        <v>539</v>
      </c>
      <c r="B49" s="188"/>
      <c r="C49" s="190"/>
      <c r="D49" s="188">
        <f>+CMT!F45</f>
        <v>11640</v>
      </c>
      <c r="E49" s="189">
        <f>CMT!F46</f>
        <v>76547</v>
      </c>
      <c r="F49" s="189"/>
      <c r="G49" s="189"/>
      <c r="H49" s="189"/>
      <c r="I49" s="189"/>
      <c r="J49" s="190"/>
      <c r="K49" s="189"/>
      <c r="L49" s="189"/>
      <c r="M49" s="189">
        <f>CMT!F7</f>
        <v>6845.5709999999999</v>
      </c>
      <c r="N49" s="189"/>
      <c r="O49" s="190"/>
    </row>
    <row r="50" spans="1:15">
      <c r="A50" s="201" t="s">
        <v>475</v>
      </c>
      <c r="B50" s="188"/>
      <c r="C50" s="190"/>
      <c r="D50" s="188"/>
      <c r="E50" s="189"/>
      <c r="F50" s="189"/>
      <c r="G50" s="189"/>
      <c r="H50" s="189"/>
      <c r="I50" s="189"/>
      <c r="J50" s="190"/>
      <c r="K50" s="189"/>
      <c r="L50" s="189"/>
      <c r="M50" s="189" t="e">
        <f>EXPORT!#REF!+EXPORT!#REF!</f>
        <v>#REF!</v>
      </c>
      <c r="N50" s="189"/>
      <c r="O50" s="190"/>
    </row>
    <row r="51" spans="1:15" s="277" customFormat="1">
      <c r="A51" s="278" t="s">
        <v>544</v>
      </c>
      <c r="B51" s="279">
        <f t="shared" ref="B51:O51" si="8">B3+B4+B8-B22</f>
        <v>32295.897999999986</v>
      </c>
      <c r="C51" s="280">
        <f t="shared" si="8"/>
        <v>26106.983999999997</v>
      </c>
      <c r="D51" s="279">
        <f t="shared" si="8"/>
        <v>124851.93799999999</v>
      </c>
      <c r="E51" s="281">
        <f>E3+E4+E8-E22</f>
        <v>-1716242.7</v>
      </c>
      <c r="F51" s="281">
        <f t="shared" si="8"/>
        <v>163347.40100000001</v>
      </c>
      <c r="G51" s="281">
        <f t="shared" si="8"/>
        <v>807000</v>
      </c>
      <c r="H51" s="281">
        <f t="shared" si="8"/>
        <v>30109.866000000002</v>
      </c>
      <c r="I51" s="281" t="e">
        <f t="shared" si="8"/>
        <v>#REF!</v>
      </c>
      <c r="J51" s="280" t="e">
        <f t="shared" si="8"/>
        <v>#REF!</v>
      </c>
      <c r="K51" s="281">
        <f t="shared" si="8"/>
        <v>-52558.43</v>
      </c>
      <c r="L51" s="281">
        <f t="shared" si="8"/>
        <v>2724.1240000000107</v>
      </c>
      <c r="M51" s="281" t="e">
        <f t="shared" si="8"/>
        <v>#REF!</v>
      </c>
      <c r="N51" s="281" t="e">
        <f t="shared" si="8"/>
        <v>#REF!</v>
      </c>
      <c r="O51" s="280">
        <f t="shared" si="8"/>
        <v>134468.87</v>
      </c>
    </row>
    <row r="52" spans="1:15" s="277" customFormat="1" ht="15.75" thickBot="1">
      <c r="A52" s="282" t="s">
        <v>542</v>
      </c>
      <c r="B52" s="283">
        <v>-200000</v>
      </c>
      <c r="C52" s="284">
        <v>0</v>
      </c>
      <c r="D52" s="283">
        <v>0</v>
      </c>
      <c r="E52" s="285">
        <v>-1125000</v>
      </c>
      <c r="F52" s="285">
        <v>0</v>
      </c>
      <c r="G52" s="285">
        <v>-250000</v>
      </c>
      <c r="H52" s="285">
        <v>0</v>
      </c>
      <c r="I52" s="285">
        <v>0</v>
      </c>
      <c r="J52" s="284">
        <v>0</v>
      </c>
      <c r="K52" s="285">
        <v>-200000</v>
      </c>
      <c r="L52" s="285">
        <v>0</v>
      </c>
      <c r="M52" s="285">
        <v>-420000</v>
      </c>
      <c r="N52" s="285">
        <v>0</v>
      </c>
      <c r="O52" s="284">
        <v>0</v>
      </c>
    </row>
    <row r="53" spans="1:15">
      <c r="A53" s="165"/>
    </row>
    <row r="54" spans="1:15">
      <c r="A54" s="165"/>
    </row>
    <row r="55" spans="1:15">
      <c r="A55" s="165"/>
    </row>
    <row r="56" spans="1:15">
      <c r="A56" s="165"/>
    </row>
    <row r="57" spans="1:15">
      <c r="A57" s="165"/>
    </row>
    <row r="64" spans="1:15">
      <c r="G64" s="251"/>
    </row>
  </sheetData>
  <mergeCells count="3">
    <mergeCell ref="B1:C1"/>
    <mergeCell ref="D1:J1"/>
    <mergeCell ref="K1:O1"/>
  </mergeCells>
  <pageMargins left="0" right="0" top="0" bottom="0" header="0" footer="0"/>
  <pageSetup paperSize="9" scale="6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4"/>
  <sheetViews>
    <sheetView workbookViewId="0">
      <pane ySplit="2" topLeftCell="A3" activePane="bottomLeft" state="frozen"/>
      <selection activeCell="D38" sqref="D38"/>
      <selection pane="bottomLeft" activeCell="D38" sqref="D38"/>
    </sheetView>
  </sheetViews>
  <sheetFormatPr baseColWidth="10" defaultRowHeight="15"/>
  <cols>
    <col min="1" max="1" width="20.5703125" style="163" bestFit="1" customWidth="1"/>
    <col min="2" max="15" width="13.42578125" style="167" customWidth="1"/>
    <col min="16" max="16384" width="11.42578125" style="163"/>
  </cols>
  <sheetData>
    <row r="1" spans="1:15" s="164" customFormat="1" ht="15" customHeight="1" thickBot="1">
      <c r="B1" s="665" t="s">
        <v>511</v>
      </c>
      <c r="C1" s="666"/>
      <c r="D1" s="665" t="s">
        <v>430</v>
      </c>
      <c r="E1" s="667"/>
      <c r="F1" s="667"/>
      <c r="G1" s="667"/>
      <c r="H1" s="667"/>
      <c r="I1" s="667"/>
      <c r="J1" s="666"/>
      <c r="K1" s="667" t="s">
        <v>432</v>
      </c>
      <c r="L1" s="667"/>
      <c r="M1" s="667"/>
      <c r="N1" s="667"/>
      <c r="O1" s="666"/>
    </row>
    <row r="2" spans="1:15" ht="15.75" thickBot="1">
      <c r="B2" s="213" t="s">
        <v>512</v>
      </c>
      <c r="C2" s="214" t="s">
        <v>515</v>
      </c>
      <c r="D2" s="213" t="s">
        <v>524</v>
      </c>
      <c r="E2" s="215" t="s">
        <v>512</v>
      </c>
      <c r="F2" s="215" t="s">
        <v>546</v>
      </c>
      <c r="G2" s="215" t="s">
        <v>547</v>
      </c>
      <c r="H2" s="215" t="s">
        <v>548</v>
      </c>
      <c r="I2" s="215" t="s">
        <v>516</v>
      </c>
      <c r="J2" s="214" t="s">
        <v>517</v>
      </c>
      <c r="K2" s="216" t="s">
        <v>548</v>
      </c>
      <c r="L2" s="215" t="s">
        <v>519</v>
      </c>
      <c r="M2" s="215" t="s">
        <v>518</v>
      </c>
      <c r="N2" s="215" t="s">
        <v>516</v>
      </c>
      <c r="O2" s="214" t="s">
        <v>517</v>
      </c>
    </row>
    <row r="3" spans="1:15" s="277" customFormat="1">
      <c r="A3" s="273" t="s">
        <v>679</v>
      </c>
      <c r="B3" s="274">
        <v>148608.11300000001</v>
      </c>
      <c r="C3" s="275">
        <v>35212.576000000001</v>
      </c>
      <c r="D3" s="274">
        <f>136491.938</f>
        <v>136491.93799999999</v>
      </c>
      <c r="E3" s="276">
        <v>-1686866.456</v>
      </c>
      <c r="F3" s="276">
        <v>163347.40100000001</v>
      </c>
      <c r="G3" s="276">
        <v>7000</v>
      </c>
      <c r="H3" s="276">
        <v>30109.866000000002</v>
      </c>
      <c r="I3" s="276">
        <v>368043.12</v>
      </c>
      <c r="J3" s="275">
        <v>27515.89</v>
      </c>
      <c r="K3" s="276">
        <v>-52558.43</v>
      </c>
      <c r="L3" s="276">
        <v>-293023.53399999999</v>
      </c>
      <c r="M3" s="276">
        <v>-935862.89099999995</v>
      </c>
      <c r="N3" s="276">
        <v>83302.649999999994</v>
      </c>
      <c r="O3" s="275">
        <v>134468.87</v>
      </c>
    </row>
    <row r="4" spans="1:15" s="165" customFormat="1" ht="12.75">
      <c r="A4" s="196" t="s">
        <v>520</v>
      </c>
      <c r="B4" s="170">
        <f>SUM(B5:B7)</f>
        <v>63142.614999999998</v>
      </c>
      <c r="C4" s="172">
        <f t="shared" ref="C4:O4" si="0">SUM(C5:C7)</f>
        <v>0</v>
      </c>
      <c r="D4" s="170">
        <f t="shared" si="0"/>
        <v>0</v>
      </c>
      <c r="E4" s="171">
        <f>SUM(E5:E7)</f>
        <v>0</v>
      </c>
      <c r="F4" s="171">
        <f t="shared" si="0"/>
        <v>0</v>
      </c>
      <c r="G4" s="171">
        <f t="shared" si="0"/>
        <v>0</v>
      </c>
      <c r="H4" s="171">
        <f t="shared" si="0"/>
        <v>0</v>
      </c>
      <c r="I4" s="171">
        <f t="shared" si="0"/>
        <v>0</v>
      </c>
      <c r="J4" s="172">
        <f t="shared" si="0"/>
        <v>0</v>
      </c>
      <c r="K4" s="171">
        <f t="shared" si="0"/>
        <v>0</v>
      </c>
      <c r="L4" s="171">
        <f t="shared" si="0"/>
        <v>295747.658</v>
      </c>
      <c r="M4" s="171">
        <f t="shared" si="0"/>
        <v>0</v>
      </c>
      <c r="N4" s="171">
        <f t="shared" si="0"/>
        <v>0</v>
      </c>
      <c r="O4" s="172">
        <f t="shared" si="0"/>
        <v>0</v>
      </c>
    </row>
    <row r="5" spans="1:15">
      <c r="A5" s="197" t="s">
        <v>521</v>
      </c>
      <c r="B5" s="173">
        <v>3142.6149999999998</v>
      </c>
      <c r="C5" s="194"/>
      <c r="D5" s="173"/>
      <c r="E5" s="174"/>
      <c r="F5" s="174"/>
      <c r="G5" s="174"/>
      <c r="H5" s="174"/>
      <c r="I5" s="174"/>
      <c r="J5" s="175"/>
      <c r="K5" s="174"/>
      <c r="L5" s="174">
        <v>295747.658</v>
      </c>
      <c r="M5" s="174"/>
      <c r="N5" s="174"/>
      <c r="O5" s="175"/>
    </row>
    <row r="6" spans="1:15">
      <c r="A6" s="197" t="s">
        <v>522</v>
      </c>
      <c r="B6" s="173">
        <v>60000</v>
      </c>
      <c r="C6" s="194"/>
      <c r="D6" s="173"/>
      <c r="E6" s="174"/>
      <c r="F6" s="174"/>
      <c r="G6" s="174"/>
      <c r="H6" s="174"/>
      <c r="I6" s="174"/>
      <c r="J6" s="175"/>
      <c r="K6" s="174"/>
      <c r="L6" s="174"/>
      <c r="M6" s="174"/>
      <c r="N6" s="174"/>
      <c r="O6" s="175"/>
    </row>
    <row r="7" spans="1:15">
      <c r="A7" s="197" t="s">
        <v>523</v>
      </c>
      <c r="B7" s="173"/>
      <c r="C7" s="194"/>
      <c r="D7" s="173"/>
      <c r="E7" s="174"/>
      <c r="F7" s="174"/>
      <c r="G7" s="174"/>
      <c r="H7" s="174"/>
      <c r="I7" s="174"/>
      <c r="J7" s="175"/>
      <c r="K7" s="174"/>
      <c r="L7" s="174"/>
      <c r="M7" s="174"/>
      <c r="N7" s="174"/>
      <c r="O7" s="175"/>
    </row>
    <row r="8" spans="1:15">
      <c r="A8" s="198" t="s">
        <v>525</v>
      </c>
      <c r="B8" s="176">
        <f>B9+B10+B11+B12+B18+B20</f>
        <v>291726.21399999998</v>
      </c>
      <c r="C8" s="178">
        <f t="shared" ref="C8:O8" si="1">C9+C10+C11+C12+C18+C20</f>
        <v>25894.407999999996</v>
      </c>
      <c r="D8" s="176">
        <f t="shared" si="1"/>
        <v>0</v>
      </c>
      <c r="E8" s="177">
        <f>E9+E10+E11+E12+E18+E20+E19</f>
        <v>131300</v>
      </c>
      <c r="F8" s="177">
        <f t="shared" si="1"/>
        <v>0</v>
      </c>
      <c r="G8" s="177">
        <f t="shared" si="1"/>
        <v>800000</v>
      </c>
      <c r="H8" s="177">
        <f t="shared" si="1"/>
        <v>0</v>
      </c>
      <c r="I8" s="177">
        <f t="shared" si="1"/>
        <v>130000</v>
      </c>
      <c r="J8" s="178" t="e">
        <f t="shared" si="1"/>
        <v>#REF!</v>
      </c>
      <c r="K8" s="177">
        <f t="shared" si="1"/>
        <v>0</v>
      </c>
      <c r="L8" s="177">
        <f t="shared" si="1"/>
        <v>0</v>
      </c>
      <c r="M8" s="177">
        <f t="shared" si="1"/>
        <v>505000</v>
      </c>
      <c r="N8" s="177">
        <f t="shared" si="1"/>
        <v>0</v>
      </c>
      <c r="O8" s="178">
        <f t="shared" si="1"/>
        <v>0</v>
      </c>
    </row>
    <row r="9" spans="1:15">
      <c r="A9" s="197" t="s">
        <v>521</v>
      </c>
      <c r="B9" s="173">
        <f>20068.406+37900.209+23983.438+21728.644+148545.517</f>
        <v>252226.21399999998</v>
      </c>
      <c r="C9" s="194">
        <f>4221.461+4733.372</f>
        <v>8954.8330000000005</v>
      </c>
      <c r="D9" s="173"/>
      <c r="E9" s="174"/>
      <c r="F9" s="174"/>
      <c r="G9" s="174"/>
      <c r="H9" s="174"/>
      <c r="I9" s="174"/>
      <c r="J9" s="175"/>
      <c r="K9" s="174"/>
      <c r="L9" s="174"/>
      <c r="M9" s="174">
        <v>200000</v>
      </c>
      <c r="N9" s="174"/>
      <c r="O9" s="175"/>
    </row>
    <row r="10" spans="1:15">
      <c r="A10" s="197" t="s">
        <v>555</v>
      </c>
      <c r="B10" s="173"/>
      <c r="C10" s="194">
        <f>7321.829+9617.746</f>
        <v>16939.574999999997</v>
      </c>
      <c r="D10" s="173"/>
      <c r="E10" s="174"/>
      <c r="F10" s="174"/>
      <c r="G10" s="174"/>
      <c r="H10" s="174"/>
      <c r="I10" s="174"/>
      <c r="J10" s="175"/>
      <c r="K10" s="174"/>
      <c r="L10" s="174"/>
      <c r="M10" s="174"/>
      <c r="N10" s="174"/>
      <c r="O10" s="175"/>
    </row>
    <row r="11" spans="1:15">
      <c r="A11" s="197" t="s">
        <v>522</v>
      </c>
      <c r="B11" s="173"/>
      <c r="C11" s="194"/>
      <c r="D11" s="173"/>
      <c r="E11" s="174"/>
      <c r="F11" s="174"/>
      <c r="G11" s="174"/>
      <c r="H11" s="174"/>
      <c r="I11" s="174"/>
      <c r="J11" s="175"/>
      <c r="K11" s="174"/>
      <c r="L11" s="174"/>
      <c r="M11" s="174"/>
      <c r="N11" s="174"/>
      <c r="O11" s="175"/>
    </row>
    <row r="12" spans="1:15" s="164" customFormat="1" ht="14.25">
      <c r="A12" s="206" t="s">
        <v>523</v>
      </c>
      <c r="B12" s="168">
        <v>39500</v>
      </c>
      <c r="C12" s="169"/>
      <c r="D12" s="191">
        <f t="shared" ref="D12:I12" si="2">SUM(D13:D17)</f>
        <v>0</v>
      </c>
      <c r="E12" s="192">
        <f t="shared" si="2"/>
        <v>131300</v>
      </c>
      <c r="F12" s="192">
        <v>0</v>
      </c>
      <c r="G12" s="192">
        <f t="shared" si="2"/>
        <v>0</v>
      </c>
      <c r="H12" s="192">
        <f t="shared" si="2"/>
        <v>0</v>
      </c>
      <c r="I12" s="192">
        <f t="shared" si="2"/>
        <v>130000</v>
      </c>
      <c r="J12" s="193" t="e">
        <f t="shared" ref="J12:O12" si="3">SUM(J13:J17)</f>
        <v>#REF!</v>
      </c>
      <c r="K12" s="192">
        <f t="shared" si="3"/>
        <v>0</v>
      </c>
      <c r="L12" s="192">
        <f t="shared" si="3"/>
        <v>0</v>
      </c>
      <c r="M12" s="192">
        <f t="shared" si="3"/>
        <v>0</v>
      </c>
      <c r="N12" s="192">
        <f t="shared" si="3"/>
        <v>0</v>
      </c>
      <c r="O12" s="193">
        <f t="shared" si="3"/>
        <v>0</v>
      </c>
    </row>
    <row r="13" spans="1:15">
      <c r="A13" s="212" t="s">
        <v>558</v>
      </c>
      <c r="B13" s="168"/>
      <c r="C13" s="169"/>
      <c r="D13" s="168"/>
      <c r="E13" s="174">
        <f>I46*2.2175+J46*2.02</f>
        <v>131300</v>
      </c>
      <c r="F13" s="174"/>
      <c r="G13" s="174"/>
      <c r="H13" s="174"/>
      <c r="I13" s="174"/>
      <c r="J13" s="175"/>
      <c r="K13" s="174"/>
      <c r="L13" s="174"/>
      <c r="M13" s="174">
        <f>+O44*2.02+N44*2.2175</f>
        <v>0</v>
      </c>
      <c r="N13" s="174"/>
      <c r="O13" s="175"/>
    </row>
    <row r="14" spans="1:15">
      <c r="A14" s="212" t="s">
        <v>513</v>
      </c>
      <c r="B14" s="168"/>
      <c r="C14" s="169"/>
      <c r="D14" s="168"/>
      <c r="E14" s="174"/>
      <c r="F14" s="174"/>
      <c r="G14" s="174"/>
      <c r="H14" s="174"/>
      <c r="I14" s="174"/>
      <c r="J14" s="175" t="e">
        <f>EXPORT!#REF!+EXPORT!#REF!</f>
        <v>#REF!</v>
      </c>
      <c r="K14" s="174"/>
      <c r="L14" s="174"/>
      <c r="M14" s="174"/>
      <c r="N14" s="174"/>
      <c r="O14" s="175"/>
    </row>
    <row r="15" spans="1:15">
      <c r="A15" s="212" t="s">
        <v>514</v>
      </c>
      <c r="B15" s="168"/>
      <c r="C15" s="169"/>
      <c r="D15" s="168"/>
      <c r="E15" s="174"/>
      <c r="F15" s="174"/>
      <c r="G15" s="174"/>
      <c r="H15" s="174"/>
      <c r="I15" s="174"/>
      <c r="J15" s="175"/>
      <c r="K15" s="174"/>
      <c r="L15" s="174"/>
      <c r="M15" s="174"/>
      <c r="N15" s="174"/>
      <c r="O15" s="175"/>
    </row>
    <row r="16" spans="1:15">
      <c r="A16" s="212" t="s">
        <v>556</v>
      </c>
      <c r="B16" s="168"/>
      <c r="C16" s="169"/>
      <c r="D16" s="168"/>
      <c r="E16" s="174"/>
      <c r="F16" s="174"/>
      <c r="G16" s="174"/>
      <c r="H16" s="174"/>
      <c r="I16" s="174">
        <v>30000</v>
      </c>
      <c r="J16" s="175"/>
      <c r="K16" s="174"/>
      <c r="L16" s="174"/>
      <c r="M16" s="174"/>
      <c r="N16" s="174"/>
      <c r="O16" s="175"/>
    </row>
    <row r="17" spans="1:15">
      <c r="A17" s="212" t="s">
        <v>557</v>
      </c>
      <c r="B17" s="168"/>
      <c r="C17" s="169"/>
      <c r="D17" s="168"/>
      <c r="E17" s="174"/>
      <c r="F17" s="174"/>
      <c r="G17" s="174"/>
      <c r="H17" s="174"/>
      <c r="I17" s="174">
        <f>100000</f>
        <v>100000</v>
      </c>
      <c r="J17" s="175"/>
      <c r="K17" s="174"/>
      <c r="L17" s="174"/>
      <c r="M17" s="174"/>
      <c r="N17" s="174"/>
      <c r="O17" s="175"/>
    </row>
    <row r="18" spans="1:15">
      <c r="A18" s="197" t="s">
        <v>549</v>
      </c>
      <c r="B18" s="168"/>
      <c r="C18" s="169"/>
      <c r="D18" s="168"/>
      <c r="E18" s="174"/>
      <c r="F18" s="174"/>
      <c r="G18" s="174">
        <v>800000</v>
      </c>
      <c r="H18" s="174"/>
      <c r="I18" s="174"/>
      <c r="J18" s="175"/>
      <c r="K18" s="174"/>
      <c r="L18" s="174"/>
      <c r="M18" s="174"/>
      <c r="N18" s="174"/>
      <c r="O18" s="175"/>
    </row>
    <row r="19" spans="1:15">
      <c r="A19" s="197" t="s">
        <v>621</v>
      </c>
      <c r="B19" s="168"/>
      <c r="C19" s="169"/>
      <c r="D19" s="168"/>
      <c r="E19" s="174"/>
      <c r="F19" s="174"/>
      <c r="G19" s="174"/>
      <c r="H19" s="174"/>
      <c r="I19" s="174"/>
      <c r="J19" s="175"/>
      <c r="K19" s="174"/>
      <c r="L19" s="174"/>
      <c r="M19" s="174"/>
      <c r="N19" s="174"/>
      <c r="O19" s="175"/>
    </row>
    <row r="20" spans="1:15">
      <c r="A20" s="197" t="s">
        <v>475</v>
      </c>
      <c r="B20" s="168"/>
      <c r="C20" s="169"/>
      <c r="D20" s="168"/>
      <c r="E20" s="174"/>
      <c r="F20" s="174"/>
      <c r="G20" s="174"/>
      <c r="H20" s="174"/>
      <c r="I20" s="174"/>
      <c r="J20" s="175"/>
      <c r="K20" s="174"/>
      <c r="L20" s="174"/>
      <c r="M20" s="174">
        <f>EXPORT!H5</f>
        <v>305000</v>
      </c>
      <c r="N20" s="174"/>
      <c r="O20" s="175"/>
    </row>
    <row r="21" spans="1:15">
      <c r="A21" s="207" t="s">
        <v>539</v>
      </c>
      <c r="B21" s="208"/>
      <c r="C21" s="209"/>
      <c r="D21" s="208"/>
      <c r="E21" s="210">
        <v>3500000</v>
      </c>
      <c r="F21" s="210"/>
      <c r="G21" s="210">
        <v>2000000</v>
      </c>
      <c r="H21" s="210"/>
      <c r="I21" s="210"/>
      <c r="J21" s="211"/>
      <c r="K21" s="210"/>
      <c r="L21" s="210"/>
      <c r="M21" s="210"/>
      <c r="N21" s="210"/>
      <c r="O21" s="211"/>
    </row>
    <row r="22" spans="1:15">
      <c r="A22" s="199" t="s">
        <v>526</v>
      </c>
      <c r="B22" s="179">
        <f>B23+B37+B48</f>
        <v>471181.04399999999</v>
      </c>
      <c r="C22" s="181">
        <f t="shared" ref="C22:O22" si="4">C23+C37+C48</f>
        <v>35000</v>
      </c>
      <c r="D22" s="179">
        <f t="shared" si="4"/>
        <v>11640</v>
      </c>
      <c r="E22" s="180">
        <f t="shared" si="4"/>
        <v>160676.24400000001</v>
      </c>
      <c r="F22" s="180">
        <f t="shared" si="4"/>
        <v>0</v>
      </c>
      <c r="G22" s="180">
        <f t="shared" si="4"/>
        <v>0</v>
      </c>
      <c r="H22" s="180">
        <f t="shared" si="4"/>
        <v>0</v>
      </c>
      <c r="I22" s="180" t="e">
        <f t="shared" si="4"/>
        <v>#REF!</v>
      </c>
      <c r="J22" s="181">
        <f t="shared" si="4"/>
        <v>157868.97</v>
      </c>
      <c r="K22" s="180">
        <f t="shared" si="4"/>
        <v>0</v>
      </c>
      <c r="L22" s="180">
        <f t="shared" si="4"/>
        <v>0</v>
      </c>
      <c r="M22" s="180" t="e">
        <f t="shared" si="4"/>
        <v>#REF!</v>
      </c>
      <c r="N22" s="180" t="e">
        <f t="shared" si="4"/>
        <v>#REF!</v>
      </c>
      <c r="O22" s="181">
        <f t="shared" si="4"/>
        <v>0</v>
      </c>
    </row>
    <row r="23" spans="1:15" s="164" customFormat="1" ht="14.25">
      <c r="A23" s="200" t="s">
        <v>535</v>
      </c>
      <c r="B23" s="182">
        <f>SUM(B24:B36)</f>
        <v>0</v>
      </c>
      <c r="C23" s="184">
        <f t="shared" ref="C23:O23" si="5">SUM(C24:C36)</f>
        <v>0</v>
      </c>
      <c r="D23" s="182">
        <f t="shared" si="5"/>
        <v>0</v>
      </c>
      <c r="E23" s="183">
        <f t="shared" si="5"/>
        <v>0</v>
      </c>
      <c r="F23" s="183">
        <f t="shared" si="5"/>
        <v>0</v>
      </c>
      <c r="G23" s="183">
        <f t="shared" si="5"/>
        <v>0</v>
      </c>
      <c r="H23" s="183">
        <f t="shared" si="5"/>
        <v>0</v>
      </c>
      <c r="I23" s="183" t="e">
        <f t="shared" si="5"/>
        <v>#REF!</v>
      </c>
      <c r="J23" s="184">
        <f t="shared" si="5"/>
        <v>92868.97</v>
      </c>
      <c r="K23" s="183">
        <f t="shared" si="5"/>
        <v>0</v>
      </c>
      <c r="L23" s="183">
        <f t="shared" si="5"/>
        <v>0</v>
      </c>
      <c r="M23" s="183">
        <f t="shared" si="5"/>
        <v>0</v>
      </c>
      <c r="N23" s="183" t="e">
        <f t="shared" si="5"/>
        <v>#REF!</v>
      </c>
      <c r="O23" s="184">
        <f t="shared" si="5"/>
        <v>0</v>
      </c>
    </row>
    <row r="24" spans="1:15" s="165" customFormat="1" ht="12.75">
      <c r="A24" s="201" t="s">
        <v>531</v>
      </c>
      <c r="B24" s="185"/>
      <c r="C24" s="195"/>
      <c r="D24" s="185"/>
      <c r="E24" s="186"/>
      <c r="F24" s="186"/>
      <c r="G24" s="186"/>
      <c r="H24" s="186"/>
      <c r="I24" s="186">
        <v>328099.53000000003</v>
      </c>
      <c r="J24" s="187"/>
      <c r="K24" s="186"/>
      <c r="L24" s="186"/>
      <c r="M24" s="186"/>
      <c r="N24" s="186"/>
      <c r="O24" s="187"/>
    </row>
    <row r="25" spans="1:15" s="165" customFormat="1" ht="12.75">
      <c r="A25" s="201" t="s">
        <v>616</v>
      </c>
      <c r="B25" s="185"/>
      <c r="C25" s="195"/>
      <c r="D25" s="185"/>
      <c r="E25" s="186"/>
      <c r="F25" s="186"/>
      <c r="G25" s="186"/>
      <c r="H25" s="186"/>
      <c r="I25" s="186"/>
      <c r="J25" s="187"/>
      <c r="K25" s="186"/>
      <c r="L25" s="186"/>
      <c r="M25" s="186"/>
      <c r="N25" s="186"/>
      <c r="O25" s="187"/>
    </row>
    <row r="26" spans="1:15" s="165" customFormat="1" ht="12.75">
      <c r="A26" s="201" t="s">
        <v>550</v>
      </c>
      <c r="B26" s="185"/>
      <c r="C26" s="195"/>
      <c r="D26" s="185"/>
      <c r="E26" s="186"/>
      <c r="F26" s="186"/>
      <c r="G26" s="186"/>
      <c r="H26" s="186"/>
      <c r="I26" s="186"/>
      <c r="J26" s="187">
        <v>92868.97</v>
      </c>
      <c r="K26" s="186"/>
      <c r="L26" s="186"/>
      <c r="M26" s="186"/>
      <c r="N26" s="186"/>
      <c r="O26" s="187"/>
    </row>
    <row r="27" spans="1:15" s="165" customFormat="1" ht="12.75">
      <c r="A27" s="201" t="s">
        <v>657</v>
      </c>
      <c r="B27" s="185"/>
      <c r="C27" s="195"/>
      <c r="D27" s="185"/>
      <c r="E27" s="186"/>
      <c r="F27" s="186"/>
      <c r="G27" s="186"/>
      <c r="H27" s="186"/>
      <c r="I27" s="186" t="e">
        <f>Etranger!#REF!</f>
        <v>#REF!</v>
      </c>
      <c r="J27" s="187"/>
      <c r="K27" s="186"/>
      <c r="L27" s="186"/>
      <c r="M27" s="186"/>
      <c r="N27" s="186"/>
      <c r="O27" s="187"/>
    </row>
    <row r="28" spans="1:15" s="165" customFormat="1" ht="12.75">
      <c r="A28" s="201" t="s">
        <v>553</v>
      </c>
      <c r="B28" s="185"/>
      <c r="C28" s="195"/>
      <c r="D28" s="185"/>
      <c r="E28" s="186"/>
      <c r="F28" s="186"/>
      <c r="G28" s="186"/>
      <c r="H28" s="186"/>
      <c r="I28" s="186"/>
      <c r="J28" s="187"/>
      <c r="K28" s="186"/>
      <c r="L28" s="186"/>
      <c r="M28" s="186"/>
      <c r="N28" s="186"/>
      <c r="O28" s="187"/>
    </row>
    <row r="29" spans="1:15" s="165" customFormat="1" ht="12.75">
      <c r="A29" s="201" t="s">
        <v>554</v>
      </c>
      <c r="B29" s="185"/>
      <c r="C29" s="195"/>
      <c r="D29" s="185"/>
      <c r="E29" s="186"/>
      <c r="F29" s="186"/>
      <c r="G29" s="186"/>
      <c r="H29" s="186"/>
      <c r="I29" s="186" t="e">
        <f>Etranger!#REF!*1.36567</f>
        <v>#REF!</v>
      </c>
      <c r="J29" s="187"/>
      <c r="K29" s="186"/>
      <c r="L29" s="186"/>
      <c r="M29" s="186"/>
      <c r="N29" s="186"/>
      <c r="O29" s="187"/>
    </row>
    <row r="30" spans="1:15" s="165" customFormat="1" ht="12.75">
      <c r="A30" s="201" t="s">
        <v>532</v>
      </c>
      <c r="B30" s="185"/>
      <c r="C30" s="195"/>
      <c r="D30" s="185"/>
      <c r="E30" s="186"/>
      <c r="F30" s="186"/>
      <c r="G30" s="186"/>
      <c r="H30" s="186"/>
      <c r="I30" s="186"/>
      <c r="J30" s="187"/>
      <c r="K30" s="186"/>
      <c r="L30" s="186"/>
      <c r="M30" s="186"/>
      <c r="N30" s="186" t="e">
        <f>Etranger!#REF!</f>
        <v>#REF!</v>
      </c>
      <c r="O30" s="187"/>
    </row>
    <row r="31" spans="1:15" s="165" customFormat="1" ht="12.75">
      <c r="A31" s="201" t="s">
        <v>533</v>
      </c>
      <c r="B31" s="185"/>
      <c r="C31" s="195"/>
      <c r="D31" s="185"/>
      <c r="E31" s="186"/>
      <c r="F31" s="186"/>
      <c r="G31" s="186"/>
      <c r="H31" s="186"/>
      <c r="I31" s="186"/>
      <c r="J31" s="187"/>
      <c r="K31" s="186"/>
      <c r="L31" s="186"/>
      <c r="M31" s="186"/>
      <c r="N31" s="186" t="e">
        <f>Etranger!#REF!</f>
        <v>#REF!</v>
      </c>
      <c r="O31" s="187"/>
    </row>
    <row r="32" spans="1:15" s="165" customFormat="1" ht="12.75">
      <c r="A32" s="201" t="s">
        <v>545</v>
      </c>
      <c r="B32" s="185"/>
      <c r="C32" s="195"/>
      <c r="D32" s="185"/>
      <c r="E32" s="186"/>
      <c r="F32" s="186"/>
      <c r="G32" s="186"/>
      <c r="H32" s="186"/>
      <c r="I32" s="186"/>
      <c r="J32" s="187"/>
      <c r="K32" s="186"/>
      <c r="L32" s="186"/>
      <c r="M32" s="186"/>
      <c r="N32" s="186"/>
      <c r="O32" s="187"/>
    </row>
    <row r="33" spans="1:15" s="165" customFormat="1" ht="12.75">
      <c r="A33" s="201" t="s">
        <v>534</v>
      </c>
      <c r="B33" s="185"/>
      <c r="C33" s="195"/>
      <c r="D33" s="185"/>
      <c r="E33" s="186"/>
      <c r="F33" s="186"/>
      <c r="G33" s="186"/>
      <c r="H33" s="186"/>
      <c r="I33" s="186"/>
      <c r="J33" s="187"/>
      <c r="K33" s="186"/>
      <c r="L33" s="186"/>
      <c r="M33" s="186"/>
      <c r="N33" s="186"/>
      <c r="O33" s="187"/>
    </row>
    <row r="34" spans="1:15" s="165" customFormat="1" ht="12.75">
      <c r="A34" s="201" t="s">
        <v>536</v>
      </c>
      <c r="B34" s="185"/>
      <c r="C34" s="195"/>
      <c r="D34" s="185"/>
      <c r="E34" s="186"/>
      <c r="F34" s="186"/>
      <c r="G34" s="186"/>
      <c r="H34" s="186"/>
      <c r="I34" s="186"/>
      <c r="J34" s="187"/>
      <c r="K34" s="186"/>
      <c r="L34" s="186"/>
      <c r="M34" s="186"/>
      <c r="N34" s="186"/>
      <c r="O34" s="187"/>
    </row>
    <row r="35" spans="1:15" s="165" customFormat="1" ht="12.75">
      <c r="A35" s="201" t="s">
        <v>541</v>
      </c>
      <c r="B35" s="185"/>
      <c r="C35" s="195"/>
      <c r="D35" s="185"/>
      <c r="E35" s="186"/>
      <c r="F35" s="186"/>
      <c r="G35" s="186"/>
      <c r="H35" s="186"/>
      <c r="I35" s="186"/>
      <c r="J35" s="187"/>
      <c r="K35" s="186"/>
      <c r="L35" s="186"/>
      <c r="M35" s="186"/>
      <c r="N35" s="186"/>
      <c r="O35" s="187"/>
    </row>
    <row r="36" spans="1:15" s="165" customFormat="1" ht="12.75">
      <c r="A36" s="201" t="s">
        <v>537</v>
      </c>
      <c r="B36" s="185"/>
      <c r="C36" s="195"/>
      <c r="D36" s="185"/>
      <c r="E36" s="186"/>
      <c r="F36" s="186"/>
      <c r="G36" s="186"/>
      <c r="H36" s="186"/>
      <c r="I36" s="186"/>
      <c r="J36" s="187"/>
      <c r="K36" s="186"/>
      <c r="L36" s="186"/>
      <c r="M36" s="186"/>
      <c r="N36" s="186"/>
      <c r="O36" s="187"/>
    </row>
    <row r="37" spans="1:15" s="164" customFormat="1" ht="14.25">
      <c r="A37" s="202" t="s">
        <v>538</v>
      </c>
      <c r="B37" s="182">
        <f>SUM(B38:B47)</f>
        <v>471181.04399999999</v>
      </c>
      <c r="C37" s="184">
        <f t="shared" ref="C37:O37" si="6">SUM(C38:C47)</f>
        <v>35000</v>
      </c>
      <c r="D37" s="182">
        <f t="shared" si="6"/>
        <v>0</v>
      </c>
      <c r="E37" s="183">
        <f t="shared" si="6"/>
        <v>84129.244000000006</v>
      </c>
      <c r="F37" s="183">
        <f t="shared" si="6"/>
        <v>0</v>
      </c>
      <c r="G37" s="183">
        <f t="shared" si="6"/>
        <v>0</v>
      </c>
      <c r="H37" s="183">
        <f t="shared" si="6"/>
        <v>0</v>
      </c>
      <c r="I37" s="183">
        <f t="shared" si="6"/>
        <v>0</v>
      </c>
      <c r="J37" s="184">
        <f t="shared" si="6"/>
        <v>65000</v>
      </c>
      <c r="K37" s="183">
        <f t="shared" si="6"/>
        <v>0</v>
      </c>
      <c r="L37" s="183">
        <f t="shared" si="6"/>
        <v>0</v>
      </c>
      <c r="M37" s="183">
        <f t="shared" si="6"/>
        <v>37921.279999999999</v>
      </c>
      <c r="N37" s="183">
        <f t="shared" si="6"/>
        <v>0</v>
      </c>
      <c r="O37" s="184">
        <f t="shared" si="6"/>
        <v>0</v>
      </c>
    </row>
    <row r="38" spans="1:15">
      <c r="A38" s="201" t="s">
        <v>527</v>
      </c>
      <c r="B38" s="188">
        <v>41596.044000000002</v>
      </c>
      <c r="C38" s="190"/>
      <c r="D38" s="188"/>
      <c r="E38" s="189">
        <v>80009.244000000006</v>
      </c>
      <c r="F38" s="189"/>
      <c r="G38" s="189"/>
      <c r="H38" s="189"/>
      <c r="I38" s="189"/>
      <c r="J38" s="190"/>
      <c r="K38" s="189"/>
      <c r="L38" s="189"/>
      <c r="M38" s="189">
        <v>37041.279999999999</v>
      </c>
      <c r="N38" s="189"/>
      <c r="O38" s="190"/>
    </row>
    <row r="39" spans="1:15">
      <c r="A39" s="201" t="s">
        <v>528</v>
      </c>
      <c r="B39" s="188"/>
      <c r="C39" s="190"/>
      <c r="D39" s="188"/>
      <c r="E39" s="189"/>
      <c r="F39" s="189"/>
      <c r="G39" s="189"/>
      <c r="H39" s="189"/>
      <c r="I39" s="189"/>
      <c r="J39" s="190"/>
      <c r="K39" s="189"/>
      <c r="L39" s="189"/>
      <c r="M39" s="189"/>
      <c r="N39" s="189"/>
      <c r="O39" s="190"/>
    </row>
    <row r="40" spans="1:15">
      <c r="A40" s="201" t="s">
        <v>529</v>
      </c>
      <c r="B40" s="188"/>
      <c r="C40" s="190"/>
      <c r="D40" s="188"/>
      <c r="E40" s="189"/>
      <c r="F40" s="189"/>
      <c r="G40" s="189"/>
      <c r="H40" s="189"/>
      <c r="I40" s="189"/>
      <c r="J40" s="190"/>
      <c r="K40" s="189"/>
      <c r="L40" s="189"/>
      <c r="M40" s="189"/>
      <c r="N40" s="189"/>
      <c r="O40" s="190"/>
    </row>
    <row r="41" spans="1:15">
      <c r="A41" s="201" t="s">
        <v>559</v>
      </c>
      <c r="B41" s="188">
        <v>9585</v>
      </c>
      <c r="C41" s="190"/>
      <c r="D41" s="188"/>
      <c r="E41" s="189">
        <v>4120</v>
      </c>
      <c r="F41" s="189"/>
      <c r="G41" s="189"/>
      <c r="H41" s="189"/>
      <c r="I41" s="189"/>
      <c r="J41" s="190"/>
      <c r="K41" s="189"/>
      <c r="L41" s="189"/>
      <c r="M41" s="189">
        <v>880</v>
      </c>
      <c r="N41" s="189"/>
      <c r="O41" s="190"/>
    </row>
    <row r="42" spans="1:15">
      <c r="A42" s="201" t="s">
        <v>530</v>
      </c>
      <c r="B42" s="188"/>
      <c r="C42" s="190"/>
      <c r="D42" s="188"/>
      <c r="E42" s="189"/>
      <c r="F42" s="189"/>
      <c r="G42" s="189"/>
      <c r="H42" s="189"/>
      <c r="I42" s="189"/>
      <c r="J42" s="190"/>
      <c r="K42" s="189"/>
      <c r="L42" s="189"/>
      <c r="M42" s="189"/>
      <c r="N42" s="189"/>
      <c r="O42" s="190"/>
    </row>
    <row r="43" spans="1:15">
      <c r="A43" s="201" t="s">
        <v>551</v>
      </c>
      <c r="B43" s="188">
        <v>50000</v>
      </c>
      <c r="C43" s="190"/>
      <c r="D43" s="188"/>
      <c r="E43" s="189"/>
      <c r="F43" s="189"/>
      <c r="G43" s="189"/>
      <c r="H43" s="189"/>
      <c r="I43" s="189"/>
      <c r="J43" s="190"/>
      <c r="K43" s="189"/>
      <c r="L43" s="189"/>
      <c r="M43" s="189"/>
      <c r="N43" s="189"/>
      <c r="O43" s="190"/>
    </row>
    <row r="44" spans="1:15" s="164" customFormat="1">
      <c r="A44" s="201" t="s">
        <v>432</v>
      </c>
      <c r="B44" s="188">
        <v>295000</v>
      </c>
      <c r="C44" s="190">
        <v>35000</v>
      </c>
      <c r="D44" s="188"/>
      <c r="E44" s="189"/>
      <c r="F44" s="189"/>
      <c r="G44" s="189"/>
      <c r="H44" s="189"/>
      <c r="I44" s="189"/>
      <c r="J44" s="190"/>
      <c r="K44" s="189"/>
      <c r="L44" s="189"/>
      <c r="M44" s="189"/>
      <c r="N44" s="189">
        <v>0</v>
      </c>
      <c r="O44" s="190">
        <v>0</v>
      </c>
    </row>
    <row r="45" spans="1:15" s="164" customFormat="1">
      <c r="A45" s="201" t="s">
        <v>552</v>
      </c>
      <c r="B45" s="188">
        <v>75000</v>
      </c>
      <c r="C45" s="190"/>
      <c r="D45" s="188"/>
      <c r="E45" s="189"/>
      <c r="F45" s="189"/>
      <c r="G45" s="189"/>
      <c r="H45" s="189"/>
      <c r="I45" s="189"/>
      <c r="J45" s="190"/>
      <c r="K45" s="189"/>
      <c r="L45" s="189"/>
      <c r="M45" s="189"/>
      <c r="N45" s="189"/>
      <c r="O45" s="190"/>
    </row>
    <row r="46" spans="1:15">
      <c r="A46" s="201" t="s">
        <v>430</v>
      </c>
      <c r="B46" s="188"/>
      <c r="C46" s="190"/>
      <c r="D46" s="188"/>
      <c r="E46" s="189"/>
      <c r="F46" s="189"/>
      <c r="G46" s="189"/>
      <c r="H46" s="189"/>
      <c r="I46" s="189">
        <v>0</v>
      </c>
      <c r="J46" s="190">
        <v>65000</v>
      </c>
      <c r="K46" s="189"/>
      <c r="L46" s="189"/>
      <c r="M46" s="189"/>
      <c r="N46" s="189"/>
      <c r="O46" s="190"/>
    </row>
    <row r="47" spans="1:15">
      <c r="A47" s="201" t="s">
        <v>543</v>
      </c>
      <c r="B47" s="188"/>
      <c r="C47" s="190"/>
      <c r="D47" s="188"/>
      <c r="E47" s="189"/>
      <c r="F47" s="189"/>
      <c r="G47" s="189"/>
      <c r="H47" s="189"/>
      <c r="I47" s="189"/>
      <c r="J47" s="190"/>
      <c r="K47" s="189"/>
      <c r="L47" s="189"/>
      <c r="M47" s="189"/>
      <c r="N47" s="189"/>
      <c r="O47" s="190"/>
    </row>
    <row r="48" spans="1:15" s="164" customFormat="1" ht="14.25">
      <c r="A48" s="203" t="s">
        <v>540</v>
      </c>
      <c r="B48" s="191">
        <f>SUM(B49:B50)</f>
        <v>0</v>
      </c>
      <c r="C48" s="193">
        <f t="shared" ref="C48:O48" si="7">SUM(C49:C50)</f>
        <v>0</v>
      </c>
      <c r="D48" s="191">
        <f t="shared" si="7"/>
        <v>11640</v>
      </c>
      <c r="E48" s="192">
        <f t="shared" si="7"/>
        <v>76547</v>
      </c>
      <c r="F48" s="192">
        <f t="shared" si="7"/>
        <v>0</v>
      </c>
      <c r="G48" s="192">
        <f t="shared" si="7"/>
        <v>0</v>
      </c>
      <c r="H48" s="192">
        <f t="shared" si="7"/>
        <v>0</v>
      </c>
      <c r="I48" s="192">
        <f t="shared" si="7"/>
        <v>0</v>
      </c>
      <c r="J48" s="193">
        <f t="shared" si="7"/>
        <v>0</v>
      </c>
      <c r="K48" s="192">
        <f t="shared" si="7"/>
        <v>0</v>
      </c>
      <c r="L48" s="192">
        <f t="shared" si="7"/>
        <v>0</v>
      </c>
      <c r="M48" s="192" t="e">
        <f t="shared" si="7"/>
        <v>#REF!</v>
      </c>
      <c r="N48" s="192">
        <f t="shared" si="7"/>
        <v>0</v>
      </c>
      <c r="O48" s="193">
        <f t="shared" si="7"/>
        <v>0</v>
      </c>
    </row>
    <row r="49" spans="1:15">
      <c r="A49" s="201" t="s">
        <v>539</v>
      </c>
      <c r="B49" s="188"/>
      <c r="C49" s="190"/>
      <c r="D49" s="188">
        <f>+CMT!F45</f>
        <v>11640</v>
      </c>
      <c r="E49" s="189">
        <f>CMT!F46</f>
        <v>76547</v>
      </c>
      <c r="F49" s="189"/>
      <c r="G49" s="189"/>
      <c r="H49" s="189"/>
      <c r="I49" s="189"/>
      <c r="J49" s="190"/>
      <c r="K49" s="189"/>
      <c r="L49" s="189"/>
      <c r="M49" s="189">
        <f>CMT!F7</f>
        <v>6845.5709999999999</v>
      </c>
      <c r="N49" s="189"/>
      <c r="O49" s="190"/>
    </row>
    <row r="50" spans="1:15">
      <c r="A50" s="201" t="s">
        <v>475</v>
      </c>
      <c r="B50" s="188"/>
      <c r="C50" s="190"/>
      <c r="D50" s="188"/>
      <c r="E50" s="189"/>
      <c r="F50" s="189"/>
      <c r="G50" s="189"/>
      <c r="H50" s="189"/>
      <c r="I50" s="189"/>
      <c r="J50" s="190"/>
      <c r="K50" s="189"/>
      <c r="L50" s="189"/>
      <c r="M50" s="189" t="e">
        <f>EXPORT!#REF!+EXPORT!#REF!</f>
        <v>#REF!</v>
      </c>
      <c r="N50" s="189"/>
      <c r="O50" s="190"/>
    </row>
    <row r="51" spans="1:15" s="277" customFormat="1">
      <c r="A51" s="278" t="s">
        <v>544</v>
      </c>
      <c r="B51" s="279">
        <f t="shared" ref="B51:O51" si="8">B3+B4+B8-B22</f>
        <v>32295.897999999986</v>
      </c>
      <c r="C51" s="280">
        <f t="shared" si="8"/>
        <v>26106.983999999997</v>
      </c>
      <c r="D51" s="279">
        <f t="shared" si="8"/>
        <v>124851.93799999999</v>
      </c>
      <c r="E51" s="281">
        <f>E3+E4+E8-E22</f>
        <v>-1716242.7</v>
      </c>
      <c r="F51" s="281">
        <f t="shared" si="8"/>
        <v>163347.40100000001</v>
      </c>
      <c r="G51" s="281">
        <f t="shared" si="8"/>
        <v>807000</v>
      </c>
      <c r="H51" s="281">
        <f t="shared" si="8"/>
        <v>30109.866000000002</v>
      </c>
      <c r="I51" s="281" t="e">
        <f t="shared" si="8"/>
        <v>#REF!</v>
      </c>
      <c r="J51" s="280" t="e">
        <f t="shared" si="8"/>
        <v>#REF!</v>
      </c>
      <c r="K51" s="281">
        <f t="shared" si="8"/>
        <v>-52558.43</v>
      </c>
      <c r="L51" s="281">
        <f t="shared" si="8"/>
        <v>2724.1240000000107</v>
      </c>
      <c r="M51" s="281" t="e">
        <f t="shared" si="8"/>
        <v>#REF!</v>
      </c>
      <c r="N51" s="281" t="e">
        <f t="shared" si="8"/>
        <v>#REF!</v>
      </c>
      <c r="O51" s="280">
        <f t="shared" si="8"/>
        <v>134468.87</v>
      </c>
    </row>
    <row r="52" spans="1:15" s="277" customFormat="1" ht="15.75" thickBot="1">
      <c r="A52" s="282" t="s">
        <v>542</v>
      </c>
      <c r="B52" s="283">
        <v>-200000</v>
      </c>
      <c r="C52" s="284">
        <v>0</v>
      </c>
      <c r="D52" s="283">
        <v>0</v>
      </c>
      <c r="E52" s="285">
        <v>-1125000</v>
      </c>
      <c r="F52" s="285">
        <v>0</v>
      </c>
      <c r="G52" s="285">
        <v>-250000</v>
      </c>
      <c r="H52" s="285">
        <v>0</v>
      </c>
      <c r="I52" s="285">
        <v>0</v>
      </c>
      <c r="J52" s="284">
        <v>0</v>
      </c>
      <c r="K52" s="285">
        <v>-200000</v>
      </c>
      <c r="L52" s="285">
        <v>0</v>
      </c>
      <c r="M52" s="285">
        <v>-420000</v>
      </c>
      <c r="N52" s="285">
        <v>0</v>
      </c>
      <c r="O52" s="284">
        <v>0</v>
      </c>
    </row>
    <row r="53" spans="1:15">
      <c r="A53" s="165"/>
    </row>
    <row r="54" spans="1:15">
      <c r="A54" s="165"/>
    </row>
    <row r="55" spans="1:15">
      <c r="A55" s="165"/>
    </row>
    <row r="56" spans="1:15">
      <c r="A56" s="165"/>
    </row>
    <row r="57" spans="1:15">
      <c r="A57" s="165"/>
    </row>
    <row r="64" spans="1:15">
      <c r="G64" s="251"/>
    </row>
  </sheetData>
  <mergeCells count="3">
    <mergeCell ref="B1:C1"/>
    <mergeCell ref="D1:J1"/>
    <mergeCell ref="K1:O1"/>
  </mergeCells>
  <pageMargins left="0" right="0" top="0" bottom="0" header="0" footer="0"/>
  <pageSetup paperSize="9" scale="6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4"/>
  <sheetViews>
    <sheetView workbookViewId="0">
      <pane ySplit="2" topLeftCell="A3" activePane="bottomLeft" state="frozen"/>
      <selection activeCell="D38" sqref="D38"/>
      <selection pane="bottomLeft" activeCell="D38" sqref="D38"/>
    </sheetView>
  </sheetViews>
  <sheetFormatPr baseColWidth="10" defaultRowHeight="15"/>
  <cols>
    <col min="1" max="1" width="20.5703125" style="163" bestFit="1" customWidth="1"/>
    <col min="2" max="15" width="13.42578125" style="167" customWidth="1"/>
    <col min="16" max="16384" width="11.42578125" style="163"/>
  </cols>
  <sheetData>
    <row r="1" spans="1:15" s="164" customFormat="1" ht="15" customHeight="1" thickBot="1">
      <c r="B1" s="665" t="s">
        <v>511</v>
      </c>
      <c r="C1" s="666"/>
      <c r="D1" s="665" t="s">
        <v>430</v>
      </c>
      <c r="E1" s="667"/>
      <c r="F1" s="667"/>
      <c r="G1" s="667"/>
      <c r="H1" s="667"/>
      <c r="I1" s="667"/>
      <c r="J1" s="666"/>
      <c r="K1" s="667" t="s">
        <v>432</v>
      </c>
      <c r="L1" s="667"/>
      <c r="M1" s="667"/>
      <c r="N1" s="667"/>
      <c r="O1" s="666"/>
    </row>
    <row r="2" spans="1:15" ht="15.75" thickBot="1">
      <c r="B2" s="213" t="s">
        <v>512</v>
      </c>
      <c r="C2" s="214" t="s">
        <v>515</v>
      </c>
      <c r="D2" s="213" t="s">
        <v>524</v>
      </c>
      <c r="E2" s="215" t="s">
        <v>512</v>
      </c>
      <c r="F2" s="215" t="s">
        <v>546</v>
      </c>
      <c r="G2" s="215" t="s">
        <v>547</v>
      </c>
      <c r="H2" s="215" t="s">
        <v>548</v>
      </c>
      <c r="I2" s="215" t="s">
        <v>516</v>
      </c>
      <c r="J2" s="214" t="s">
        <v>517</v>
      </c>
      <c r="K2" s="216" t="s">
        <v>548</v>
      </c>
      <c r="L2" s="215" t="s">
        <v>519</v>
      </c>
      <c r="M2" s="215" t="s">
        <v>518</v>
      </c>
      <c r="N2" s="215" t="s">
        <v>516</v>
      </c>
      <c r="O2" s="214" t="s">
        <v>517</v>
      </c>
    </row>
    <row r="3" spans="1:15" s="277" customFormat="1">
      <c r="A3" s="273" t="s">
        <v>679</v>
      </c>
      <c r="B3" s="274">
        <v>148608.11300000001</v>
      </c>
      <c r="C3" s="275">
        <v>35212.576000000001</v>
      </c>
      <c r="D3" s="274">
        <f>136491.938</f>
        <v>136491.93799999999</v>
      </c>
      <c r="E3" s="276">
        <v>-1686866.456</v>
      </c>
      <c r="F3" s="276">
        <v>163347.40100000001</v>
      </c>
      <c r="G3" s="276">
        <v>7000</v>
      </c>
      <c r="H3" s="276">
        <v>30109.866000000002</v>
      </c>
      <c r="I3" s="276">
        <v>368043.12</v>
      </c>
      <c r="J3" s="275">
        <v>27515.89</v>
      </c>
      <c r="K3" s="276">
        <v>-52558.43</v>
      </c>
      <c r="L3" s="276">
        <v>-293023.53399999999</v>
      </c>
      <c r="M3" s="276">
        <v>-935862.89099999995</v>
      </c>
      <c r="N3" s="276">
        <v>83302.649999999994</v>
      </c>
      <c r="O3" s="275">
        <v>134468.87</v>
      </c>
    </row>
    <row r="4" spans="1:15" s="165" customFormat="1" ht="12.75">
      <c r="A4" s="196" t="s">
        <v>520</v>
      </c>
      <c r="B4" s="170">
        <f>SUM(B5:B7)</f>
        <v>63142.614999999998</v>
      </c>
      <c r="C4" s="172">
        <f t="shared" ref="C4:O4" si="0">SUM(C5:C7)</f>
        <v>0</v>
      </c>
      <c r="D4" s="170">
        <f t="shared" si="0"/>
        <v>0</v>
      </c>
      <c r="E4" s="171">
        <f>SUM(E5:E7)</f>
        <v>0</v>
      </c>
      <c r="F4" s="171">
        <f t="shared" si="0"/>
        <v>0</v>
      </c>
      <c r="G4" s="171">
        <f t="shared" si="0"/>
        <v>0</v>
      </c>
      <c r="H4" s="171">
        <f t="shared" si="0"/>
        <v>0</v>
      </c>
      <c r="I4" s="171">
        <f t="shared" si="0"/>
        <v>0</v>
      </c>
      <c r="J4" s="172">
        <f t="shared" si="0"/>
        <v>0</v>
      </c>
      <c r="K4" s="171">
        <f t="shared" si="0"/>
        <v>0</v>
      </c>
      <c r="L4" s="171">
        <f t="shared" si="0"/>
        <v>295747.658</v>
      </c>
      <c r="M4" s="171">
        <f t="shared" si="0"/>
        <v>0</v>
      </c>
      <c r="N4" s="171">
        <f t="shared" si="0"/>
        <v>0</v>
      </c>
      <c r="O4" s="172">
        <f t="shared" si="0"/>
        <v>0</v>
      </c>
    </row>
    <row r="5" spans="1:15">
      <c r="A5" s="197" t="s">
        <v>521</v>
      </c>
      <c r="B5" s="173">
        <v>3142.6149999999998</v>
      </c>
      <c r="C5" s="194"/>
      <c r="D5" s="173"/>
      <c r="E5" s="174"/>
      <c r="F5" s="174"/>
      <c r="G5" s="174"/>
      <c r="H5" s="174"/>
      <c r="I5" s="174"/>
      <c r="J5" s="175"/>
      <c r="K5" s="174"/>
      <c r="L5" s="174">
        <v>295747.658</v>
      </c>
      <c r="M5" s="174"/>
      <c r="N5" s="174"/>
      <c r="O5" s="175"/>
    </row>
    <row r="6" spans="1:15">
      <c r="A6" s="197" t="s">
        <v>522</v>
      </c>
      <c r="B6" s="173">
        <v>60000</v>
      </c>
      <c r="C6" s="194"/>
      <c r="D6" s="173"/>
      <c r="E6" s="174"/>
      <c r="F6" s="174"/>
      <c r="G6" s="174"/>
      <c r="H6" s="174"/>
      <c r="I6" s="174"/>
      <c r="J6" s="175"/>
      <c r="K6" s="174"/>
      <c r="L6" s="174"/>
      <c r="M6" s="174"/>
      <c r="N6" s="174"/>
      <c r="O6" s="175"/>
    </row>
    <row r="7" spans="1:15">
      <c r="A7" s="197" t="s">
        <v>523</v>
      </c>
      <c r="B7" s="173"/>
      <c r="C7" s="194"/>
      <c r="D7" s="173"/>
      <c r="E7" s="174"/>
      <c r="F7" s="174"/>
      <c r="G7" s="174"/>
      <c r="H7" s="174"/>
      <c r="I7" s="174"/>
      <c r="J7" s="175"/>
      <c r="K7" s="174"/>
      <c r="L7" s="174"/>
      <c r="M7" s="174"/>
      <c r="N7" s="174"/>
      <c r="O7" s="175"/>
    </row>
    <row r="8" spans="1:15">
      <c r="A8" s="198" t="s">
        <v>525</v>
      </c>
      <c r="B8" s="176">
        <f>B9+B10+B11+B12+B18+B20</f>
        <v>291726.21399999998</v>
      </c>
      <c r="C8" s="178">
        <f t="shared" ref="C8:O8" si="1">C9+C10+C11+C12+C18+C20</f>
        <v>25894.407999999996</v>
      </c>
      <c r="D8" s="176">
        <f t="shared" si="1"/>
        <v>0</v>
      </c>
      <c r="E8" s="177">
        <f>E9+E10+E11+E12+E18+E20+E19</f>
        <v>131300</v>
      </c>
      <c r="F8" s="177">
        <f t="shared" si="1"/>
        <v>0</v>
      </c>
      <c r="G8" s="177">
        <f t="shared" si="1"/>
        <v>800000</v>
      </c>
      <c r="H8" s="177">
        <f t="shared" si="1"/>
        <v>0</v>
      </c>
      <c r="I8" s="177">
        <f t="shared" si="1"/>
        <v>130000</v>
      </c>
      <c r="J8" s="178" t="e">
        <f t="shared" si="1"/>
        <v>#REF!</v>
      </c>
      <c r="K8" s="177">
        <f t="shared" si="1"/>
        <v>0</v>
      </c>
      <c r="L8" s="177">
        <f t="shared" si="1"/>
        <v>0</v>
      </c>
      <c r="M8" s="177">
        <f t="shared" si="1"/>
        <v>505000</v>
      </c>
      <c r="N8" s="177">
        <f t="shared" si="1"/>
        <v>0</v>
      </c>
      <c r="O8" s="178">
        <f t="shared" si="1"/>
        <v>0</v>
      </c>
    </row>
    <row r="9" spans="1:15">
      <c r="A9" s="197" t="s">
        <v>521</v>
      </c>
      <c r="B9" s="173">
        <f>20068.406+37900.209+23983.438+21728.644+148545.517</f>
        <v>252226.21399999998</v>
      </c>
      <c r="C9" s="194">
        <f>4221.461+4733.372</f>
        <v>8954.8330000000005</v>
      </c>
      <c r="D9" s="173"/>
      <c r="E9" s="174"/>
      <c r="F9" s="174"/>
      <c r="G9" s="174"/>
      <c r="H9" s="174"/>
      <c r="I9" s="174"/>
      <c r="J9" s="175"/>
      <c r="K9" s="174"/>
      <c r="L9" s="174"/>
      <c r="M9" s="174">
        <v>200000</v>
      </c>
      <c r="N9" s="174"/>
      <c r="O9" s="175"/>
    </row>
    <row r="10" spans="1:15">
      <c r="A10" s="197" t="s">
        <v>555</v>
      </c>
      <c r="B10" s="173"/>
      <c r="C10" s="194">
        <f>7321.829+9617.746</f>
        <v>16939.574999999997</v>
      </c>
      <c r="D10" s="173"/>
      <c r="E10" s="174"/>
      <c r="F10" s="174"/>
      <c r="G10" s="174"/>
      <c r="H10" s="174"/>
      <c r="I10" s="174"/>
      <c r="J10" s="175"/>
      <c r="K10" s="174"/>
      <c r="L10" s="174"/>
      <c r="M10" s="174"/>
      <c r="N10" s="174"/>
      <c r="O10" s="175"/>
    </row>
    <row r="11" spans="1:15">
      <c r="A11" s="197" t="s">
        <v>522</v>
      </c>
      <c r="B11" s="173"/>
      <c r="C11" s="194"/>
      <c r="D11" s="173"/>
      <c r="E11" s="174"/>
      <c r="F11" s="174"/>
      <c r="G11" s="174"/>
      <c r="H11" s="174"/>
      <c r="I11" s="174"/>
      <c r="J11" s="175"/>
      <c r="K11" s="174"/>
      <c r="L11" s="174"/>
      <c r="M11" s="174"/>
      <c r="N11" s="174"/>
      <c r="O11" s="175"/>
    </row>
    <row r="12" spans="1:15" s="164" customFormat="1" ht="14.25">
      <c r="A12" s="206" t="s">
        <v>523</v>
      </c>
      <c r="B12" s="168">
        <v>39500</v>
      </c>
      <c r="C12" s="169"/>
      <c r="D12" s="191">
        <f t="shared" ref="D12:I12" si="2">SUM(D13:D17)</f>
        <v>0</v>
      </c>
      <c r="E12" s="192">
        <f t="shared" si="2"/>
        <v>131300</v>
      </c>
      <c r="F12" s="192">
        <v>0</v>
      </c>
      <c r="G12" s="192">
        <f t="shared" si="2"/>
        <v>0</v>
      </c>
      <c r="H12" s="192">
        <f t="shared" si="2"/>
        <v>0</v>
      </c>
      <c r="I12" s="192">
        <f t="shared" si="2"/>
        <v>130000</v>
      </c>
      <c r="J12" s="193" t="e">
        <f t="shared" ref="J12:O12" si="3">SUM(J13:J17)</f>
        <v>#REF!</v>
      </c>
      <c r="K12" s="192">
        <f t="shared" si="3"/>
        <v>0</v>
      </c>
      <c r="L12" s="192">
        <f t="shared" si="3"/>
        <v>0</v>
      </c>
      <c r="M12" s="192">
        <f t="shared" si="3"/>
        <v>0</v>
      </c>
      <c r="N12" s="192">
        <f t="shared" si="3"/>
        <v>0</v>
      </c>
      <c r="O12" s="193">
        <f t="shared" si="3"/>
        <v>0</v>
      </c>
    </row>
    <row r="13" spans="1:15">
      <c r="A13" s="212" t="s">
        <v>558</v>
      </c>
      <c r="B13" s="168"/>
      <c r="C13" s="169"/>
      <c r="D13" s="168"/>
      <c r="E13" s="174">
        <f>I46*2.2175+J46*2.02</f>
        <v>131300</v>
      </c>
      <c r="F13" s="174"/>
      <c r="G13" s="174"/>
      <c r="H13" s="174"/>
      <c r="I13" s="174"/>
      <c r="J13" s="175"/>
      <c r="K13" s="174"/>
      <c r="L13" s="174"/>
      <c r="M13" s="174">
        <f>+O44*2.02+N44*2.2175</f>
        <v>0</v>
      </c>
      <c r="N13" s="174"/>
      <c r="O13" s="175"/>
    </row>
    <row r="14" spans="1:15">
      <c r="A14" s="212" t="s">
        <v>513</v>
      </c>
      <c r="B14" s="168"/>
      <c r="C14" s="169"/>
      <c r="D14" s="168"/>
      <c r="E14" s="174"/>
      <c r="F14" s="174"/>
      <c r="G14" s="174"/>
      <c r="H14" s="174"/>
      <c r="I14" s="174"/>
      <c r="J14" s="175" t="e">
        <f>EXPORT!#REF!+EXPORT!#REF!</f>
        <v>#REF!</v>
      </c>
      <c r="K14" s="174"/>
      <c r="L14" s="174"/>
      <c r="M14" s="174"/>
      <c r="N14" s="174"/>
      <c r="O14" s="175"/>
    </row>
    <row r="15" spans="1:15">
      <c r="A15" s="212" t="s">
        <v>514</v>
      </c>
      <c r="B15" s="168"/>
      <c r="C15" s="169"/>
      <c r="D15" s="168"/>
      <c r="E15" s="174"/>
      <c r="F15" s="174"/>
      <c r="G15" s="174"/>
      <c r="H15" s="174"/>
      <c r="I15" s="174"/>
      <c r="J15" s="175"/>
      <c r="K15" s="174"/>
      <c r="L15" s="174"/>
      <c r="M15" s="174"/>
      <c r="N15" s="174"/>
      <c r="O15" s="175"/>
    </row>
    <row r="16" spans="1:15">
      <c r="A16" s="212" t="s">
        <v>556</v>
      </c>
      <c r="B16" s="168"/>
      <c r="C16" s="169"/>
      <c r="D16" s="168"/>
      <c r="E16" s="174"/>
      <c r="F16" s="174"/>
      <c r="G16" s="174"/>
      <c r="H16" s="174"/>
      <c r="I16" s="174">
        <v>30000</v>
      </c>
      <c r="J16" s="175"/>
      <c r="K16" s="174"/>
      <c r="L16" s="174"/>
      <c r="M16" s="174"/>
      <c r="N16" s="174"/>
      <c r="O16" s="175"/>
    </row>
    <row r="17" spans="1:15">
      <c r="A17" s="212" t="s">
        <v>557</v>
      </c>
      <c r="B17" s="168"/>
      <c r="C17" s="169"/>
      <c r="D17" s="168"/>
      <c r="E17" s="174"/>
      <c r="F17" s="174"/>
      <c r="G17" s="174"/>
      <c r="H17" s="174"/>
      <c r="I17" s="174">
        <f>100000</f>
        <v>100000</v>
      </c>
      <c r="J17" s="175"/>
      <c r="K17" s="174"/>
      <c r="L17" s="174"/>
      <c r="M17" s="174"/>
      <c r="N17" s="174"/>
      <c r="O17" s="175"/>
    </row>
    <row r="18" spans="1:15">
      <c r="A18" s="197" t="s">
        <v>549</v>
      </c>
      <c r="B18" s="168"/>
      <c r="C18" s="169"/>
      <c r="D18" s="168"/>
      <c r="E18" s="174"/>
      <c r="F18" s="174"/>
      <c r="G18" s="174">
        <v>800000</v>
      </c>
      <c r="H18" s="174"/>
      <c r="I18" s="174"/>
      <c r="J18" s="175"/>
      <c r="K18" s="174"/>
      <c r="L18" s="174"/>
      <c r="M18" s="174"/>
      <c r="N18" s="174"/>
      <c r="O18" s="175"/>
    </row>
    <row r="19" spans="1:15">
      <c r="A19" s="197" t="s">
        <v>621</v>
      </c>
      <c r="B19" s="168"/>
      <c r="C19" s="169"/>
      <c r="D19" s="168"/>
      <c r="E19" s="174"/>
      <c r="F19" s="174"/>
      <c r="G19" s="174"/>
      <c r="H19" s="174"/>
      <c r="I19" s="174"/>
      <c r="J19" s="175"/>
      <c r="K19" s="174"/>
      <c r="L19" s="174"/>
      <c r="M19" s="174"/>
      <c r="N19" s="174"/>
      <c r="O19" s="175"/>
    </row>
    <row r="20" spans="1:15">
      <c r="A20" s="197" t="s">
        <v>475</v>
      </c>
      <c r="B20" s="168"/>
      <c r="C20" s="169"/>
      <c r="D20" s="168"/>
      <c r="E20" s="174"/>
      <c r="F20" s="174"/>
      <c r="G20" s="174"/>
      <c r="H20" s="174"/>
      <c r="I20" s="174"/>
      <c r="J20" s="175"/>
      <c r="K20" s="174"/>
      <c r="L20" s="174"/>
      <c r="M20" s="174">
        <f>EXPORT!H5</f>
        <v>305000</v>
      </c>
      <c r="N20" s="174"/>
      <c r="O20" s="175"/>
    </row>
    <row r="21" spans="1:15">
      <c r="A21" s="207" t="s">
        <v>539</v>
      </c>
      <c r="B21" s="208"/>
      <c r="C21" s="209"/>
      <c r="D21" s="208"/>
      <c r="E21" s="210">
        <v>3500000</v>
      </c>
      <c r="F21" s="210"/>
      <c r="G21" s="210">
        <v>2000000</v>
      </c>
      <c r="H21" s="210"/>
      <c r="I21" s="210"/>
      <c r="J21" s="211"/>
      <c r="K21" s="210"/>
      <c r="L21" s="210"/>
      <c r="M21" s="210"/>
      <c r="N21" s="210"/>
      <c r="O21" s="211"/>
    </row>
    <row r="22" spans="1:15">
      <c r="A22" s="199" t="s">
        <v>526</v>
      </c>
      <c r="B22" s="179">
        <f>B23+B37+B48</f>
        <v>471181.04399999999</v>
      </c>
      <c r="C22" s="181">
        <f t="shared" ref="C22:O22" si="4">C23+C37+C48</f>
        <v>35000</v>
      </c>
      <c r="D22" s="179">
        <f t="shared" si="4"/>
        <v>11640</v>
      </c>
      <c r="E22" s="180">
        <f t="shared" si="4"/>
        <v>160676.24400000001</v>
      </c>
      <c r="F22" s="180">
        <f t="shared" si="4"/>
        <v>0</v>
      </c>
      <c r="G22" s="180">
        <f t="shared" si="4"/>
        <v>0</v>
      </c>
      <c r="H22" s="180">
        <f t="shared" si="4"/>
        <v>0</v>
      </c>
      <c r="I22" s="180" t="e">
        <f t="shared" si="4"/>
        <v>#REF!</v>
      </c>
      <c r="J22" s="181">
        <f t="shared" si="4"/>
        <v>157868.97</v>
      </c>
      <c r="K22" s="180">
        <f t="shared" si="4"/>
        <v>0</v>
      </c>
      <c r="L22" s="180">
        <f t="shared" si="4"/>
        <v>0</v>
      </c>
      <c r="M22" s="180" t="e">
        <f t="shared" si="4"/>
        <v>#REF!</v>
      </c>
      <c r="N22" s="180" t="e">
        <f t="shared" si="4"/>
        <v>#REF!</v>
      </c>
      <c r="O22" s="181">
        <f t="shared" si="4"/>
        <v>0</v>
      </c>
    </row>
    <row r="23" spans="1:15" s="164" customFormat="1" ht="14.25">
      <c r="A23" s="200" t="s">
        <v>535</v>
      </c>
      <c r="B23" s="182">
        <f>SUM(B24:B36)</f>
        <v>0</v>
      </c>
      <c r="C23" s="184">
        <f t="shared" ref="C23:O23" si="5">SUM(C24:C36)</f>
        <v>0</v>
      </c>
      <c r="D23" s="182">
        <f t="shared" si="5"/>
        <v>0</v>
      </c>
      <c r="E23" s="183">
        <f t="shared" si="5"/>
        <v>0</v>
      </c>
      <c r="F23" s="183">
        <f t="shared" si="5"/>
        <v>0</v>
      </c>
      <c r="G23" s="183">
        <f t="shared" si="5"/>
        <v>0</v>
      </c>
      <c r="H23" s="183">
        <f t="shared" si="5"/>
        <v>0</v>
      </c>
      <c r="I23" s="183" t="e">
        <f t="shared" si="5"/>
        <v>#REF!</v>
      </c>
      <c r="J23" s="184">
        <f t="shared" si="5"/>
        <v>92868.97</v>
      </c>
      <c r="K23" s="183">
        <f t="shared" si="5"/>
        <v>0</v>
      </c>
      <c r="L23" s="183">
        <f t="shared" si="5"/>
        <v>0</v>
      </c>
      <c r="M23" s="183">
        <f t="shared" si="5"/>
        <v>0</v>
      </c>
      <c r="N23" s="183" t="e">
        <f t="shared" si="5"/>
        <v>#REF!</v>
      </c>
      <c r="O23" s="184">
        <f t="shared" si="5"/>
        <v>0</v>
      </c>
    </row>
    <row r="24" spans="1:15" s="165" customFormat="1" ht="12.75">
      <c r="A24" s="201" t="s">
        <v>531</v>
      </c>
      <c r="B24" s="185"/>
      <c r="C24" s="195"/>
      <c r="D24" s="185"/>
      <c r="E24" s="186"/>
      <c r="F24" s="186"/>
      <c r="G24" s="186"/>
      <c r="H24" s="186"/>
      <c r="I24" s="186">
        <v>328099.53000000003</v>
      </c>
      <c r="J24" s="187"/>
      <c r="K24" s="186"/>
      <c r="L24" s="186"/>
      <c r="M24" s="186"/>
      <c r="N24" s="186"/>
      <c r="O24" s="187"/>
    </row>
    <row r="25" spans="1:15" s="165" customFormat="1" ht="12.75">
      <c r="A25" s="201" t="s">
        <v>616</v>
      </c>
      <c r="B25" s="185"/>
      <c r="C25" s="195"/>
      <c r="D25" s="185"/>
      <c r="E25" s="186"/>
      <c r="F25" s="186"/>
      <c r="G25" s="186"/>
      <c r="H25" s="186"/>
      <c r="I25" s="186"/>
      <c r="J25" s="187"/>
      <c r="K25" s="186"/>
      <c r="L25" s="186"/>
      <c r="M25" s="186"/>
      <c r="N25" s="186"/>
      <c r="O25" s="187"/>
    </row>
    <row r="26" spans="1:15" s="165" customFormat="1" ht="12.75">
      <c r="A26" s="201" t="s">
        <v>550</v>
      </c>
      <c r="B26" s="185"/>
      <c r="C26" s="195"/>
      <c r="D26" s="185"/>
      <c r="E26" s="186"/>
      <c r="F26" s="186"/>
      <c r="G26" s="186"/>
      <c r="H26" s="186"/>
      <c r="I26" s="186"/>
      <c r="J26" s="187">
        <v>92868.97</v>
      </c>
      <c r="K26" s="186"/>
      <c r="L26" s="186"/>
      <c r="M26" s="186"/>
      <c r="N26" s="186"/>
      <c r="O26" s="187"/>
    </row>
    <row r="27" spans="1:15" s="165" customFormat="1" ht="12.75">
      <c r="A27" s="201" t="s">
        <v>657</v>
      </c>
      <c r="B27" s="185"/>
      <c r="C27" s="195"/>
      <c r="D27" s="185"/>
      <c r="E27" s="186"/>
      <c r="F27" s="186"/>
      <c r="G27" s="186"/>
      <c r="H27" s="186"/>
      <c r="I27" s="186" t="e">
        <f>Etranger!#REF!</f>
        <v>#REF!</v>
      </c>
      <c r="J27" s="187"/>
      <c r="K27" s="186"/>
      <c r="L27" s="186"/>
      <c r="M27" s="186"/>
      <c r="N27" s="186"/>
      <c r="O27" s="187"/>
    </row>
    <row r="28" spans="1:15" s="165" customFormat="1" ht="12.75">
      <c r="A28" s="201" t="s">
        <v>553</v>
      </c>
      <c r="B28" s="185"/>
      <c r="C28" s="195"/>
      <c r="D28" s="185"/>
      <c r="E28" s="186"/>
      <c r="F28" s="186"/>
      <c r="G28" s="186"/>
      <c r="H28" s="186"/>
      <c r="I28" s="186"/>
      <c r="J28" s="187"/>
      <c r="K28" s="186"/>
      <c r="L28" s="186"/>
      <c r="M28" s="186"/>
      <c r="N28" s="186"/>
      <c r="O28" s="187"/>
    </row>
    <row r="29" spans="1:15" s="165" customFormat="1" ht="12.75">
      <c r="A29" s="201" t="s">
        <v>554</v>
      </c>
      <c r="B29" s="185"/>
      <c r="C29" s="195"/>
      <c r="D29" s="185"/>
      <c r="E29" s="186"/>
      <c r="F29" s="186"/>
      <c r="G29" s="186"/>
      <c r="H29" s="186"/>
      <c r="I29" s="186" t="e">
        <f>Etranger!#REF!*1.36567</f>
        <v>#REF!</v>
      </c>
      <c r="J29" s="187"/>
      <c r="K29" s="186"/>
      <c r="L29" s="186"/>
      <c r="M29" s="186"/>
      <c r="N29" s="186"/>
      <c r="O29" s="187"/>
    </row>
    <row r="30" spans="1:15" s="165" customFormat="1" ht="12.75">
      <c r="A30" s="201" t="s">
        <v>532</v>
      </c>
      <c r="B30" s="185"/>
      <c r="C30" s="195"/>
      <c r="D30" s="185"/>
      <c r="E30" s="186"/>
      <c r="F30" s="186"/>
      <c r="G30" s="186"/>
      <c r="H30" s="186"/>
      <c r="I30" s="186"/>
      <c r="J30" s="187"/>
      <c r="K30" s="186"/>
      <c r="L30" s="186"/>
      <c r="M30" s="186"/>
      <c r="N30" s="186" t="e">
        <f>Etranger!#REF!</f>
        <v>#REF!</v>
      </c>
      <c r="O30" s="187"/>
    </row>
    <row r="31" spans="1:15" s="165" customFormat="1" ht="12.75">
      <c r="A31" s="201" t="s">
        <v>533</v>
      </c>
      <c r="B31" s="185"/>
      <c r="C31" s="195"/>
      <c r="D31" s="185"/>
      <c r="E31" s="186"/>
      <c r="F31" s="186"/>
      <c r="G31" s="186"/>
      <c r="H31" s="186"/>
      <c r="I31" s="186"/>
      <c r="J31" s="187"/>
      <c r="K31" s="186"/>
      <c r="L31" s="186"/>
      <c r="M31" s="186"/>
      <c r="N31" s="186" t="e">
        <f>Etranger!#REF!</f>
        <v>#REF!</v>
      </c>
      <c r="O31" s="187"/>
    </row>
    <row r="32" spans="1:15" s="165" customFormat="1" ht="12.75">
      <c r="A32" s="201" t="s">
        <v>545</v>
      </c>
      <c r="B32" s="185"/>
      <c r="C32" s="195"/>
      <c r="D32" s="185"/>
      <c r="E32" s="186"/>
      <c r="F32" s="186"/>
      <c r="G32" s="186"/>
      <c r="H32" s="186"/>
      <c r="I32" s="186"/>
      <c r="J32" s="187"/>
      <c r="K32" s="186"/>
      <c r="L32" s="186"/>
      <c r="M32" s="186"/>
      <c r="N32" s="186"/>
      <c r="O32" s="187"/>
    </row>
    <row r="33" spans="1:15" s="165" customFormat="1" ht="12.75">
      <c r="A33" s="201" t="s">
        <v>534</v>
      </c>
      <c r="B33" s="185"/>
      <c r="C33" s="195"/>
      <c r="D33" s="185"/>
      <c r="E33" s="186"/>
      <c r="F33" s="186"/>
      <c r="G33" s="186"/>
      <c r="H33" s="186"/>
      <c r="I33" s="186"/>
      <c r="J33" s="187"/>
      <c r="K33" s="186"/>
      <c r="L33" s="186"/>
      <c r="M33" s="186"/>
      <c r="N33" s="186"/>
      <c r="O33" s="187"/>
    </row>
    <row r="34" spans="1:15" s="165" customFormat="1" ht="12.75">
      <c r="A34" s="201" t="s">
        <v>536</v>
      </c>
      <c r="B34" s="185"/>
      <c r="C34" s="195"/>
      <c r="D34" s="185"/>
      <c r="E34" s="186"/>
      <c r="F34" s="186"/>
      <c r="G34" s="186"/>
      <c r="H34" s="186"/>
      <c r="I34" s="186"/>
      <c r="J34" s="187"/>
      <c r="K34" s="186"/>
      <c r="L34" s="186"/>
      <c r="M34" s="186"/>
      <c r="N34" s="186"/>
      <c r="O34" s="187"/>
    </row>
    <row r="35" spans="1:15" s="165" customFormat="1" ht="12.75">
      <c r="A35" s="201" t="s">
        <v>541</v>
      </c>
      <c r="B35" s="185"/>
      <c r="C35" s="195"/>
      <c r="D35" s="185"/>
      <c r="E35" s="186"/>
      <c r="F35" s="186"/>
      <c r="G35" s="186"/>
      <c r="H35" s="186"/>
      <c r="I35" s="186"/>
      <c r="J35" s="187"/>
      <c r="K35" s="186"/>
      <c r="L35" s="186"/>
      <c r="M35" s="186"/>
      <c r="N35" s="186"/>
      <c r="O35" s="187"/>
    </row>
    <row r="36" spans="1:15" s="165" customFormat="1" ht="12.75">
      <c r="A36" s="201" t="s">
        <v>537</v>
      </c>
      <c r="B36" s="185"/>
      <c r="C36" s="195"/>
      <c r="D36" s="185"/>
      <c r="E36" s="186"/>
      <c r="F36" s="186"/>
      <c r="G36" s="186"/>
      <c r="H36" s="186"/>
      <c r="I36" s="186"/>
      <c r="J36" s="187"/>
      <c r="K36" s="186"/>
      <c r="L36" s="186"/>
      <c r="M36" s="186"/>
      <c r="N36" s="186"/>
      <c r="O36" s="187"/>
    </row>
    <row r="37" spans="1:15" s="164" customFormat="1" ht="14.25">
      <c r="A37" s="202" t="s">
        <v>538</v>
      </c>
      <c r="B37" s="182">
        <f>SUM(B38:B47)</f>
        <v>471181.04399999999</v>
      </c>
      <c r="C37" s="184">
        <f t="shared" ref="C37:O37" si="6">SUM(C38:C47)</f>
        <v>35000</v>
      </c>
      <c r="D37" s="182">
        <f t="shared" si="6"/>
        <v>0</v>
      </c>
      <c r="E37" s="183">
        <f t="shared" si="6"/>
        <v>84129.244000000006</v>
      </c>
      <c r="F37" s="183">
        <f t="shared" si="6"/>
        <v>0</v>
      </c>
      <c r="G37" s="183">
        <f t="shared" si="6"/>
        <v>0</v>
      </c>
      <c r="H37" s="183">
        <f t="shared" si="6"/>
        <v>0</v>
      </c>
      <c r="I37" s="183">
        <f t="shared" si="6"/>
        <v>0</v>
      </c>
      <c r="J37" s="184">
        <f t="shared" si="6"/>
        <v>65000</v>
      </c>
      <c r="K37" s="183">
        <f t="shared" si="6"/>
        <v>0</v>
      </c>
      <c r="L37" s="183">
        <f t="shared" si="6"/>
        <v>0</v>
      </c>
      <c r="M37" s="183">
        <f t="shared" si="6"/>
        <v>37921.279999999999</v>
      </c>
      <c r="N37" s="183">
        <f t="shared" si="6"/>
        <v>0</v>
      </c>
      <c r="O37" s="184">
        <f t="shared" si="6"/>
        <v>0</v>
      </c>
    </row>
    <row r="38" spans="1:15">
      <c r="A38" s="201" t="s">
        <v>527</v>
      </c>
      <c r="B38" s="188">
        <v>41596.044000000002</v>
      </c>
      <c r="C38" s="190"/>
      <c r="D38" s="188"/>
      <c r="E38" s="189">
        <v>80009.244000000006</v>
      </c>
      <c r="F38" s="189"/>
      <c r="G38" s="189"/>
      <c r="H38" s="189"/>
      <c r="I38" s="189"/>
      <c r="J38" s="190"/>
      <c r="K38" s="189"/>
      <c r="L38" s="189"/>
      <c r="M38" s="189">
        <v>37041.279999999999</v>
      </c>
      <c r="N38" s="189"/>
      <c r="O38" s="190"/>
    </row>
    <row r="39" spans="1:15">
      <c r="A39" s="201" t="s">
        <v>528</v>
      </c>
      <c r="B39" s="188"/>
      <c r="C39" s="190"/>
      <c r="D39" s="188"/>
      <c r="E39" s="189"/>
      <c r="F39" s="189"/>
      <c r="G39" s="189"/>
      <c r="H39" s="189"/>
      <c r="I39" s="189"/>
      <c r="J39" s="190"/>
      <c r="K39" s="189"/>
      <c r="L39" s="189"/>
      <c r="M39" s="189"/>
      <c r="N39" s="189"/>
      <c r="O39" s="190"/>
    </row>
    <row r="40" spans="1:15">
      <c r="A40" s="201" t="s">
        <v>529</v>
      </c>
      <c r="B40" s="188"/>
      <c r="C40" s="190"/>
      <c r="D40" s="188"/>
      <c r="E40" s="189"/>
      <c r="F40" s="189"/>
      <c r="G40" s="189"/>
      <c r="H40" s="189"/>
      <c r="I40" s="189"/>
      <c r="J40" s="190"/>
      <c r="K40" s="189"/>
      <c r="L40" s="189"/>
      <c r="M40" s="189"/>
      <c r="N40" s="189"/>
      <c r="O40" s="190"/>
    </row>
    <row r="41" spans="1:15">
      <c r="A41" s="201" t="s">
        <v>559</v>
      </c>
      <c r="B41" s="188">
        <v>9585</v>
      </c>
      <c r="C41" s="190"/>
      <c r="D41" s="188"/>
      <c r="E41" s="189">
        <v>4120</v>
      </c>
      <c r="F41" s="189"/>
      <c r="G41" s="189"/>
      <c r="H41" s="189"/>
      <c r="I41" s="189"/>
      <c r="J41" s="190"/>
      <c r="K41" s="189"/>
      <c r="L41" s="189"/>
      <c r="M41" s="189">
        <v>880</v>
      </c>
      <c r="N41" s="189"/>
      <c r="O41" s="190"/>
    </row>
    <row r="42" spans="1:15">
      <c r="A42" s="201" t="s">
        <v>530</v>
      </c>
      <c r="B42" s="188"/>
      <c r="C42" s="190"/>
      <c r="D42" s="188"/>
      <c r="E42" s="189"/>
      <c r="F42" s="189"/>
      <c r="G42" s="189"/>
      <c r="H42" s="189"/>
      <c r="I42" s="189"/>
      <c r="J42" s="190"/>
      <c r="K42" s="189"/>
      <c r="L42" s="189"/>
      <c r="M42" s="189"/>
      <c r="N42" s="189"/>
      <c r="O42" s="190"/>
    </row>
    <row r="43" spans="1:15">
      <c r="A43" s="201" t="s">
        <v>551</v>
      </c>
      <c r="B43" s="188">
        <v>50000</v>
      </c>
      <c r="C43" s="190"/>
      <c r="D43" s="188"/>
      <c r="E43" s="189"/>
      <c r="F43" s="189"/>
      <c r="G43" s="189"/>
      <c r="H43" s="189"/>
      <c r="I43" s="189"/>
      <c r="J43" s="190"/>
      <c r="K43" s="189"/>
      <c r="L43" s="189"/>
      <c r="M43" s="189"/>
      <c r="N43" s="189"/>
      <c r="O43" s="190"/>
    </row>
    <row r="44" spans="1:15" s="164" customFormat="1">
      <c r="A44" s="201" t="s">
        <v>432</v>
      </c>
      <c r="B44" s="188">
        <v>295000</v>
      </c>
      <c r="C44" s="190">
        <v>35000</v>
      </c>
      <c r="D44" s="188"/>
      <c r="E44" s="189"/>
      <c r="F44" s="189"/>
      <c r="G44" s="189"/>
      <c r="H44" s="189"/>
      <c r="I44" s="189"/>
      <c r="J44" s="190"/>
      <c r="K44" s="189"/>
      <c r="L44" s="189"/>
      <c r="M44" s="189"/>
      <c r="N44" s="189">
        <v>0</v>
      </c>
      <c r="O44" s="190">
        <v>0</v>
      </c>
    </row>
    <row r="45" spans="1:15" s="164" customFormat="1">
      <c r="A45" s="201" t="s">
        <v>552</v>
      </c>
      <c r="B45" s="188">
        <v>75000</v>
      </c>
      <c r="C45" s="190"/>
      <c r="D45" s="188"/>
      <c r="E45" s="189"/>
      <c r="F45" s="189"/>
      <c r="G45" s="189"/>
      <c r="H45" s="189"/>
      <c r="I45" s="189"/>
      <c r="J45" s="190"/>
      <c r="K45" s="189"/>
      <c r="L45" s="189"/>
      <c r="M45" s="189"/>
      <c r="N45" s="189"/>
      <c r="O45" s="190"/>
    </row>
    <row r="46" spans="1:15">
      <c r="A46" s="201" t="s">
        <v>430</v>
      </c>
      <c r="B46" s="188"/>
      <c r="C46" s="190"/>
      <c r="D46" s="188"/>
      <c r="E46" s="189"/>
      <c r="F46" s="189"/>
      <c r="G46" s="189"/>
      <c r="H46" s="189"/>
      <c r="I46" s="189">
        <v>0</v>
      </c>
      <c r="J46" s="190">
        <v>65000</v>
      </c>
      <c r="K46" s="189"/>
      <c r="L46" s="189"/>
      <c r="M46" s="189"/>
      <c r="N46" s="189"/>
      <c r="O46" s="190"/>
    </row>
    <row r="47" spans="1:15">
      <c r="A47" s="201" t="s">
        <v>543</v>
      </c>
      <c r="B47" s="188"/>
      <c r="C47" s="190"/>
      <c r="D47" s="188"/>
      <c r="E47" s="189"/>
      <c r="F47" s="189"/>
      <c r="G47" s="189"/>
      <c r="H47" s="189"/>
      <c r="I47" s="189"/>
      <c r="J47" s="190"/>
      <c r="K47" s="189"/>
      <c r="L47" s="189"/>
      <c r="M47" s="189"/>
      <c r="N47" s="189"/>
      <c r="O47" s="190"/>
    </row>
    <row r="48" spans="1:15" s="164" customFormat="1" ht="14.25">
      <c r="A48" s="203" t="s">
        <v>540</v>
      </c>
      <c r="B48" s="191">
        <f>SUM(B49:B50)</f>
        <v>0</v>
      </c>
      <c r="C48" s="193">
        <f t="shared" ref="C48:O48" si="7">SUM(C49:C50)</f>
        <v>0</v>
      </c>
      <c r="D48" s="191">
        <f t="shared" si="7"/>
        <v>11640</v>
      </c>
      <c r="E48" s="192">
        <f t="shared" si="7"/>
        <v>76547</v>
      </c>
      <c r="F48" s="192">
        <f t="shared" si="7"/>
        <v>0</v>
      </c>
      <c r="G48" s="192">
        <f t="shared" si="7"/>
        <v>0</v>
      </c>
      <c r="H48" s="192">
        <f t="shared" si="7"/>
        <v>0</v>
      </c>
      <c r="I48" s="192">
        <f t="shared" si="7"/>
        <v>0</v>
      </c>
      <c r="J48" s="193">
        <f t="shared" si="7"/>
        <v>0</v>
      </c>
      <c r="K48" s="192">
        <f t="shared" si="7"/>
        <v>0</v>
      </c>
      <c r="L48" s="192">
        <f t="shared" si="7"/>
        <v>0</v>
      </c>
      <c r="M48" s="192" t="e">
        <f t="shared" si="7"/>
        <v>#REF!</v>
      </c>
      <c r="N48" s="192">
        <f t="shared" si="7"/>
        <v>0</v>
      </c>
      <c r="O48" s="193">
        <f t="shared" si="7"/>
        <v>0</v>
      </c>
    </row>
    <row r="49" spans="1:15">
      <c r="A49" s="201" t="s">
        <v>539</v>
      </c>
      <c r="B49" s="188"/>
      <c r="C49" s="190"/>
      <c r="D49" s="188">
        <f>+CMT!F45</f>
        <v>11640</v>
      </c>
      <c r="E49" s="189">
        <f>CMT!F46</f>
        <v>76547</v>
      </c>
      <c r="F49" s="189"/>
      <c r="G49" s="189"/>
      <c r="H49" s="189"/>
      <c r="I49" s="189"/>
      <c r="J49" s="190"/>
      <c r="K49" s="189"/>
      <c r="L49" s="189"/>
      <c r="M49" s="189">
        <f>CMT!F7</f>
        <v>6845.5709999999999</v>
      </c>
      <c r="N49" s="189"/>
      <c r="O49" s="190"/>
    </row>
    <row r="50" spans="1:15">
      <c r="A50" s="201" t="s">
        <v>475</v>
      </c>
      <c r="B50" s="188"/>
      <c r="C50" s="190"/>
      <c r="D50" s="188"/>
      <c r="E50" s="189"/>
      <c r="F50" s="189"/>
      <c r="G50" s="189"/>
      <c r="H50" s="189"/>
      <c r="I50" s="189"/>
      <c r="J50" s="190"/>
      <c r="K50" s="189"/>
      <c r="L50" s="189"/>
      <c r="M50" s="189" t="e">
        <f>EXPORT!#REF!+EXPORT!#REF!</f>
        <v>#REF!</v>
      </c>
      <c r="N50" s="189"/>
      <c r="O50" s="190"/>
    </row>
    <row r="51" spans="1:15" s="277" customFormat="1">
      <c r="A51" s="278" t="s">
        <v>544</v>
      </c>
      <c r="B51" s="279">
        <f t="shared" ref="B51:O51" si="8">B3+B4+B8-B22</f>
        <v>32295.897999999986</v>
      </c>
      <c r="C51" s="280">
        <f t="shared" si="8"/>
        <v>26106.983999999997</v>
      </c>
      <c r="D51" s="279">
        <f t="shared" si="8"/>
        <v>124851.93799999999</v>
      </c>
      <c r="E51" s="281">
        <f>E3+E4+E8-E22</f>
        <v>-1716242.7</v>
      </c>
      <c r="F51" s="281">
        <f t="shared" si="8"/>
        <v>163347.40100000001</v>
      </c>
      <c r="G51" s="281">
        <f t="shared" si="8"/>
        <v>807000</v>
      </c>
      <c r="H51" s="281">
        <f t="shared" si="8"/>
        <v>30109.866000000002</v>
      </c>
      <c r="I51" s="281" t="e">
        <f t="shared" si="8"/>
        <v>#REF!</v>
      </c>
      <c r="J51" s="280" t="e">
        <f t="shared" si="8"/>
        <v>#REF!</v>
      </c>
      <c r="K51" s="281">
        <f t="shared" si="8"/>
        <v>-52558.43</v>
      </c>
      <c r="L51" s="281">
        <f t="shared" si="8"/>
        <v>2724.1240000000107</v>
      </c>
      <c r="M51" s="281" t="e">
        <f t="shared" si="8"/>
        <v>#REF!</v>
      </c>
      <c r="N51" s="281" t="e">
        <f t="shared" si="8"/>
        <v>#REF!</v>
      </c>
      <c r="O51" s="280">
        <f t="shared" si="8"/>
        <v>134468.87</v>
      </c>
    </row>
    <row r="52" spans="1:15" s="277" customFormat="1" ht="15.75" thickBot="1">
      <c r="A52" s="282" t="s">
        <v>542</v>
      </c>
      <c r="B52" s="283">
        <v>-200000</v>
      </c>
      <c r="C52" s="284">
        <v>0</v>
      </c>
      <c r="D52" s="283">
        <v>0</v>
      </c>
      <c r="E52" s="285">
        <v>-1125000</v>
      </c>
      <c r="F52" s="285">
        <v>0</v>
      </c>
      <c r="G52" s="285">
        <v>-250000</v>
      </c>
      <c r="H52" s="285">
        <v>0</v>
      </c>
      <c r="I52" s="285">
        <v>0</v>
      </c>
      <c r="J52" s="284">
        <v>0</v>
      </c>
      <c r="K52" s="285">
        <v>-200000</v>
      </c>
      <c r="L52" s="285">
        <v>0</v>
      </c>
      <c r="M52" s="285">
        <v>-420000</v>
      </c>
      <c r="N52" s="285">
        <v>0</v>
      </c>
      <c r="O52" s="284">
        <v>0</v>
      </c>
    </row>
    <row r="53" spans="1:15">
      <c r="A53" s="165"/>
    </row>
    <row r="54" spans="1:15">
      <c r="A54" s="165"/>
    </row>
    <row r="55" spans="1:15">
      <c r="A55" s="165"/>
    </row>
    <row r="56" spans="1:15">
      <c r="A56" s="165"/>
    </row>
    <row r="57" spans="1:15">
      <c r="A57" s="165"/>
    </row>
    <row r="64" spans="1:15">
      <c r="G64" s="251"/>
    </row>
  </sheetData>
  <mergeCells count="3">
    <mergeCell ref="B1:C1"/>
    <mergeCell ref="D1:J1"/>
    <mergeCell ref="K1:O1"/>
  </mergeCells>
  <pageMargins left="0" right="0" top="0" bottom="0" header="0" footer="0"/>
  <pageSetup paperSize="9" scale="6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4"/>
  <sheetViews>
    <sheetView workbookViewId="0">
      <pane ySplit="2" topLeftCell="A3" activePane="bottomLeft" state="frozen"/>
      <selection activeCell="D38" sqref="D38"/>
      <selection pane="bottomLeft" activeCell="D38" sqref="D38"/>
    </sheetView>
  </sheetViews>
  <sheetFormatPr baseColWidth="10" defaultRowHeight="15"/>
  <cols>
    <col min="1" max="1" width="20.5703125" style="163" bestFit="1" customWidth="1"/>
    <col min="2" max="15" width="13.42578125" style="167" customWidth="1"/>
    <col min="16" max="16384" width="11.42578125" style="163"/>
  </cols>
  <sheetData>
    <row r="1" spans="1:15" s="164" customFormat="1" ht="15" customHeight="1" thickBot="1">
      <c r="B1" s="665" t="s">
        <v>511</v>
      </c>
      <c r="C1" s="666"/>
      <c r="D1" s="665" t="s">
        <v>430</v>
      </c>
      <c r="E1" s="667"/>
      <c r="F1" s="667"/>
      <c r="G1" s="667"/>
      <c r="H1" s="667"/>
      <c r="I1" s="667"/>
      <c r="J1" s="666"/>
      <c r="K1" s="667" t="s">
        <v>432</v>
      </c>
      <c r="L1" s="667"/>
      <c r="M1" s="667"/>
      <c r="N1" s="667"/>
      <c r="O1" s="666"/>
    </row>
    <row r="2" spans="1:15" ht="15.75" thickBot="1">
      <c r="B2" s="213" t="s">
        <v>512</v>
      </c>
      <c r="C2" s="214" t="s">
        <v>515</v>
      </c>
      <c r="D2" s="213" t="s">
        <v>524</v>
      </c>
      <c r="E2" s="215" t="s">
        <v>512</v>
      </c>
      <c r="F2" s="215" t="s">
        <v>546</v>
      </c>
      <c r="G2" s="215" t="s">
        <v>547</v>
      </c>
      <c r="H2" s="215" t="s">
        <v>548</v>
      </c>
      <c r="I2" s="215" t="s">
        <v>516</v>
      </c>
      <c r="J2" s="214" t="s">
        <v>517</v>
      </c>
      <c r="K2" s="216" t="s">
        <v>548</v>
      </c>
      <c r="L2" s="215" t="s">
        <v>519</v>
      </c>
      <c r="M2" s="215" t="s">
        <v>518</v>
      </c>
      <c r="N2" s="215" t="s">
        <v>516</v>
      </c>
      <c r="O2" s="214" t="s">
        <v>517</v>
      </c>
    </row>
    <row r="3" spans="1:15" s="277" customFormat="1">
      <c r="A3" s="273" t="s">
        <v>679</v>
      </c>
      <c r="B3" s="274">
        <v>148608.11300000001</v>
      </c>
      <c r="C3" s="275">
        <v>35212.576000000001</v>
      </c>
      <c r="D3" s="274">
        <f>136491.938</f>
        <v>136491.93799999999</v>
      </c>
      <c r="E3" s="276">
        <v>-1686866.456</v>
      </c>
      <c r="F3" s="276">
        <v>163347.40100000001</v>
      </c>
      <c r="G3" s="276">
        <v>7000</v>
      </c>
      <c r="H3" s="276">
        <v>30109.866000000002</v>
      </c>
      <c r="I3" s="276">
        <v>368043.12</v>
      </c>
      <c r="J3" s="275">
        <v>27515.89</v>
      </c>
      <c r="K3" s="276">
        <v>-52558.43</v>
      </c>
      <c r="L3" s="276">
        <v>-293023.53399999999</v>
      </c>
      <c r="M3" s="276">
        <v>-935862.89099999995</v>
      </c>
      <c r="N3" s="276">
        <v>83302.649999999994</v>
      </c>
      <c r="O3" s="275">
        <v>134468.87</v>
      </c>
    </row>
    <row r="4" spans="1:15" s="165" customFormat="1" ht="12.75">
      <c r="A4" s="196" t="s">
        <v>520</v>
      </c>
      <c r="B4" s="170">
        <f>SUM(B5:B7)</f>
        <v>63142.614999999998</v>
      </c>
      <c r="C4" s="172">
        <f t="shared" ref="C4:O4" si="0">SUM(C5:C7)</f>
        <v>0</v>
      </c>
      <c r="D4" s="170">
        <f t="shared" si="0"/>
        <v>0</v>
      </c>
      <c r="E4" s="171">
        <f>SUM(E5:E7)</f>
        <v>0</v>
      </c>
      <c r="F4" s="171">
        <f t="shared" si="0"/>
        <v>0</v>
      </c>
      <c r="G4" s="171">
        <f t="shared" si="0"/>
        <v>0</v>
      </c>
      <c r="H4" s="171">
        <f t="shared" si="0"/>
        <v>0</v>
      </c>
      <c r="I4" s="171">
        <f t="shared" si="0"/>
        <v>0</v>
      </c>
      <c r="J4" s="172">
        <f t="shared" si="0"/>
        <v>0</v>
      </c>
      <c r="K4" s="171">
        <f t="shared" si="0"/>
        <v>0</v>
      </c>
      <c r="L4" s="171">
        <f t="shared" si="0"/>
        <v>295747.658</v>
      </c>
      <c r="M4" s="171">
        <f t="shared" si="0"/>
        <v>0</v>
      </c>
      <c r="N4" s="171">
        <f t="shared" si="0"/>
        <v>0</v>
      </c>
      <c r="O4" s="172">
        <f t="shared" si="0"/>
        <v>0</v>
      </c>
    </row>
    <row r="5" spans="1:15">
      <c r="A5" s="197" t="s">
        <v>521</v>
      </c>
      <c r="B5" s="173">
        <v>3142.6149999999998</v>
      </c>
      <c r="C5" s="194"/>
      <c r="D5" s="173"/>
      <c r="E5" s="174"/>
      <c r="F5" s="174"/>
      <c r="G5" s="174"/>
      <c r="H5" s="174"/>
      <c r="I5" s="174"/>
      <c r="J5" s="175"/>
      <c r="K5" s="174"/>
      <c r="L5" s="174">
        <v>295747.658</v>
      </c>
      <c r="M5" s="174"/>
      <c r="N5" s="174"/>
      <c r="O5" s="175"/>
    </row>
    <row r="6" spans="1:15">
      <c r="A6" s="197" t="s">
        <v>522</v>
      </c>
      <c r="B6" s="173">
        <v>60000</v>
      </c>
      <c r="C6" s="194"/>
      <c r="D6" s="173"/>
      <c r="E6" s="174"/>
      <c r="F6" s="174"/>
      <c r="G6" s="174"/>
      <c r="H6" s="174"/>
      <c r="I6" s="174"/>
      <c r="J6" s="175"/>
      <c r="K6" s="174"/>
      <c r="L6" s="174"/>
      <c r="M6" s="174"/>
      <c r="N6" s="174"/>
      <c r="O6" s="175"/>
    </row>
    <row r="7" spans="1:15">
      <c r="A7" s="197" t="s">
        <v>523</v>
      </c>
      <c r="B7" s="173"/>
      <c r="C7" s="194"/>
      <c r="D7" s="173"/>
      <c r="E7" s="174"/>
      <c r="F7" s="174"/>
      <c r="G7" s="174"/>
      <c r="H7" s="174"/>
      <c r="I7" s="174"/>
      <c r="J7" s="175"/>
      <c r="K7" s="174"/>
      <c r="L7" s="174"/>
      <c r="M7" s="174"/>
      <c r="N7" s="174"/>
      <c r="O7" s="175"/>
    </row>
    <row r="8" spans="1:15">
      <c r="A8" s="198" t="s">
        <v>525</v>
      </c>
      <c r="B8" s="176">
        <f>B9+B10+B11+B12+B18+B20</f>
        <v>291726.21399999998</v>
      </c>
      <c r="C8" s="178">
        <f t="shared" ref="C8:O8" si="1">C9+C10+C11+C12+C18+C20</f>
        <v>25894.407999999996</v>
      </c>
      <c r="D8" s="176">
        <f t="shared" si="1"/>
        <v>0</v>
      </c>
      <c r="E8" s="177">
        <f>E9+E10+E11+E12+E18+E20+E19</f>
        <v>131300</v>
      </c>
      <c r="F8" s="177">
        <f t="shared" si="1"/>
        <v>0</v>
      </c>
      <c r="G8" s="177">
        <f t="shared" si="1"/>
        <v>800000</v>
      </c>
      <c r="H8" s="177">
        <f t="shared" si="1"/>
        <v>0</v>
      </c>
      <c r="I8" s="177">
        <f t="shared" si="1"/>
        <v>130000</v>
      </c>
      <c r="J8" s="178" t="e">
        <f t="shared" si="1"/>
        <v>#REF!</v>
      </c>
      <c r="K8" s="177">
        <f t="shared" si="1"/>
        <v>0</v>
      </c>
      <c r="L8" s="177">
        <f t="shared" si="1"/>
        <v>0</v>
      </c>
      <c r="M8" s="177">
        <f t="shared" si="1"/>
        <v>505000</v>
      </c>
      <c r="N8" s="177">
        <f t="shared" si="1"/>
        <v>0</v>
      </c>
      <c r="O8" s="178">
        <f t="shared" si="1"/>
        <v>0</v>
      </c>
    </row>
    <row r="9" spans="1:15">
      <c r="A9" s="197" t="s">
        <v>521</v>
      </c>
      <c r="B9" s="173">
        <f>20068.406+37900.209+23983.438+21728.644+148545.517</f>
        <v>252226.21399999998</v>
      </c>
      <c r="C9" s="194">
        <f>4221.461+4733.372</f>
        <v>8954.8330000000005</v>
      </c>
      <c r="D9" s="173"/>
      <c r="E9" s="174"/>
      <c r="F9" s="174"/>
      <c r="G9" s="174"/>
      <c r="H9" s="174"/>
      <c r="I9" s="174"/>
      <c r="J9" s="175"/>
      <c r="K9" s="174"/>
      <c r="L9" s="174"/>
      <c r="M9" s="174">
        <v>200000</v>
      </c>
      <c r="N9" s="174"/>
      <c r="O9" s="175"/>
    </row>
    <row r="10" spans="1:15">
      <c r="A10" s="197" t="s">
        <v>555</v>
      </c>
      <c r="B10" s="173"/>
      <c r="C10" s="194">
        <f>7321.829+9617.746</f>
        <v>16939.574999999997</v>
      </c>
      <c r="D10" s="173"/>
      <c r="E10" s="174"/>
      <c r="F10" s="174"/>
      <c r="G10" s="174"/>
      <c r="H10" s="174"/>
      <c r="I10" s="174"/>
      <c r="J10" s="175"/>
      <c r="K10" s="174"/>
      <c r="L10" s="174"/>
      <c r="M10" s="174"/>
      <c r="N10" s="174"/>
      <c r="O10" s="175"/>
    </row>
    <row r="11" spans="1:15">
      <c r="A11" s="197" t="s">
        <v>522</v>
      </c>
      <c r="B11" s="173"/>
      <c r="C11" s="194"/>
      <c r="D11" s="173"/>
      <c r="E11" s="174"/>
      <c r="F11" s="174"/>
      <c r="G11" s="174"/>
      <c r="H11" s="174"/>
      <c r="I11" s="174"/>
      <c r="J11" s="175"/>
      <c r="K11" s="174"/>
      <c r="L11" s="174"/>
      <c r="M11" s="174"/>
      <c r="N11" s="174"/>
      <c r="O11" s="175"/>
    </row>
    <row r="12" spans="1:15" s="164" customFormat="1" ht="14.25">
      <c r="A12" s="206" t="s">
        <v>523</v>
      </c>
      <c r="B12" s="168">
        <v>39500</v>
      </c>
      <c r="C12" s="169"/>
      <c r="D12" s="191">
        <f t="shared" ref="D12:I12" si="2">SUM(D13:D17)</f>
        <v>0</v>
      </c>
      <c r="E12" s="192">
        <f t="shared" si="2"/>
        <v>131300</v>
      </c>
      <c r="F12" s="192">
        <v>0</v>
      </c>
      <c r="G12" s="192">
        <f t="shared" si="2"/>
        <v>0</v>
      </c>
      <c r="H12" s="192">
        <f t="shared" si="2"/>
        <v>0</v>
      </c>
      <c r="I12" s="192">
        <f t="shared" si="2"/>
        <v>130000</v>
      </c>
      <c r="J12" s="193" t="e">
        <f t="shared" ref="J12:O12" si="3">SUM(J13:J17)</f>
        <v>#REF!</v>
      </c>
      <c r="K12" s="192">
        <f t="shared" si="3"/>
        <v>0</v>
      </c>
      <c r="L12" s="192">
        <f t="shared" si="3"/>
        <v>0</v>
      </c>
      <c r="M12" s="192">
        <f t="shared" si="3"/>
        <v>0</v>
      </c>
      <c r="N12" s="192">
        <f t="shared" si="3"/>
        <v>0</v>
      </c>
      <c r="O12" s="193">
        <f t="shared" si="3"/>
        <v>0</v>
      </c>
    </row>
    <row r="13" spans="1:15">
      <c r="A13" s="212" t="s">
        <v>558</v>
      </c>
      <c r="B13" s="168"/>
      <c r="C13" s="169"/>
      <c r="D13" s="168"/>
      <c r="E13" s="174">
        <f>I46*2.2175+J46*2.02</f>
        <v>131300</v>
      </c>
      <c r="F13" s="174"/>
      <c r="G13" s="174"/>
      <c r="H13" s="174"/>
      <c r="I13" s="174"/>
      <c r="J13" s="175"/>
      <c r="K13" s="174"/>
      <c r="L13" s="174"/>
      <c r="M13" s="174">
        <f>+O44*2.02+N44*2.2175</f>
        <v>0</v>
      </c>
      <c r="N13" s="174"/>
      <c r="O13" s="175"/>
    </row>
    <row r="14" spans="1:15">
      <c r="A14" s="212" t="s">
        <v>513</v>
      </c>
      <c r="B14" s="168"/>
      <c r="C14" s="169"/>
      <c r="D14" s="168"/>
      <c r="E14" s="174"/>
      <c r="F14" s="174"/>
      <c r="G14" s="174"/>
      <c r="H14" s="174"/>
      <c r="I14" s="174"/>
      <c r="J14" s="175" t="e">
        <f>EXPORT!#REF!+EXPORT!#REF!</f>
        <v>#REF!</v>
      </c>
      <c r="K14" s="174"/>
      <c r="L14" s="174"/>
      <c r="M14" s="174"/>
      <c r="N14" s="174"/>
      <c r="O14" s="175"/>
    </row>
    <row r="15" spans="1:15">
      <c r="A15" s="212" t="s">
        <v>514</v>
      </c>
      <c r="B15" s="168"/>
      <c r="C15" s="169"/>
      <c r="D15" s="168"/>
      <c r="E15" s="174"/>
      <c r="F15" s="174"/>
      <c r="G15" s="174"/>
      <c r="H15" s="174"/>
      <c r="I15" s="174"/>
      <c r="J15" s="175"/>
      <c r="K15" s="174"/>
      <c r="L15" s="174"/>
      <c r="M15" s="174"/>
      <c r="N15" s="174"/>
      <c r="O15" s="175"/>
    </row>
    <row r="16" spans="1:15">
      <c r="A16" s="212" t="s">
        <v>556</v>
      </c>
      <c r="B16" s="168"/>
      <c r="C16" s="169"/>
      <c r="D16" s="168"/>
      <c r="E16" s="174"/>
      <c r="F16" s="174"/>
      <c r="G16" s="174"/>
      <c r="H16" s="174"/>
      <c r="I16" s="174">
        <v>30000</v>
      </c>
      <c r="J16" s="175"/>
      <c r="K16" s="174"/>
      <c r="L16" s="174"/>
      <c r="M16" s="174"/>
      <c r="N16" s="174"/>
      <c r="O16" s="175"/>
    </row>
    <row r="17" spans="1:15">
      <c r="A17" s="212" t="s">
        <v>557</v>
      </c>
      <c r="B17" s="168"/>
      <c r="C17" s="169"/>
      <c r="D17" s="168"/>
      <c r="E17" s="174"/>
      <c r="F17" s="174"/>
      <c r="G17" s="174"/>
      <c r="H17" s="174"/>
      <c r="I17" s="174">
        <f>100000</f>
        <v>100000</v>
      </c>
      <c r="J17" s="175"/>
      <c r="K17" s="174"/>
      <c r="L17" s="174"/>
      <c r="M17" s="174"/>
      <c r="N17" s="174"/>
      <c r="O17" s="175"/>
    </row>
    <row r="18" spans="1:15">
      <c r="A18" s="197" t="s">
        <v>549</v>
      </c>
      <c r="B18" s="168"/>
      <c r="C18" s="169"/>
      <c r="D18" s="168"/>
      <c r="E18" s="174"/>
      <c r="F18" s="174"/>
      <c r="G18" s="174">
        <v>800000</v>
      </c>
      <c r="H18" s="174"/>
      <c r="I18" s="174"/>
      <c r="J18" s="175"/>
      <c r="K18" s="174"/>
      <c r="L18" s="174"/>
      <c r="M18" s="174"/>
      <c r="N18" s="174"/>
      <c r="O18" s="175"/>
    </row>
    <row r="19" spans="1:15">
      <c r="A19" s="197" t="s">
        <v>621</v>
      </c>
      <c r="B19" s="168"/>
      <c r="C19" s="169"/>
      <c r="D19" s="168"/>
      <c r="E19" s="174"/>
      <c r="F19" s="174"/>
      <c r="G19" s="174"/>
      <c r="H19" s="174"/>
      <c r="I19" s="174"/>
      <c r="J19" s="175"/>
      <c r="K19" s="174"/>
      <c r="L19" s="174"/>
      <c r="M19" s="174"/>
      <c r="N19" s="174"/>
      <c r="O19" s="175"/>
    </row>
    <row r="20" spans="1:15">
      <c r="A20" s="197" t="s">
        <v>475</v>
      </c>
      <c r="B20" s="168"/>
      <c r="C20" s="169"/>
      <c r="D20" s="168"/>
      <c r="E20" s="174"/>
      <c r="F20" s="174"/>
      <c r="G20" s="174"/>
      <c r="H20" s="174"/>
      <c r="I20" s="174"/>
      <c r="J20" s="175"/>
      <c r="K20" s="174"/>
      <c r="L20" s="174"/>
      <c r="M20" s="174">
        <f>EXPORT!H5</f>
        <v>305000</v>
      </c>
      <c r="N20" s="174"/>
      <c r="O20" s="175"/>
    </row>
    <row r="21" spans="1:15">
      <c r="A21" s="207" t="s">
        <v>539</v>
      </c>
      <c r="B21" s="208"/>
      <c r="C21" s="209"/>
      <c r="D21" s="208"/>
      <c r="E21" s="210">
        <v>3500000</v>
      </c>
      <c r="F21" s="210"/>
      <c r="G21" s="210">
        <v>2000000</v>
      </c>
      <c r="H21" s="210"/>
      <c r="I21" s="210"/>
      <c r="J21" s="211"/>
      <c r="K21" s="210"/>
      <c r="L21" s="210"/>
      <c r="M21" s="210"/>
      <c r="N21" s="210"/>
      <c r="O21" s="211"/>
    </row>
    <row r="22" spans="1:15">
      <c r="A22" s="199" t="s">
        <v>526</v>
      </c>
      <c r="B22" s="179">
        <f>B23+B37+B48</f>
        <v>471181.04399999999</v>
      </c>
      <c r="C22" s="181">
        <f t="shared" ref="C22:O22" si="4">C23+C37+C48</f>
        <v>35000</v>
      </c>
      <c r="D22" s="179">
        <f t="shared" si="4"/>
        <v>11640</v>
      </c>
      <c r="E22" s="180">
        <f t="shared" si="4"/>
        <v>160676.24400000001</v>
      </c>
      <c r="F22" s="180">
        <f t="shared" si="4"/>
        <v>0</v>
      </c>
      <c r="G22" s="180">
        <f t="shared" si="4"/>
        <v>0</v>
      </c>
      <c r="H22" s="180">
        <f t="shared" si="4"/>
        <v>0</v>
      </c>
      <c r="I22" s="180" t="e">
        <f t="shared" si="4"/>
        <v>#REF!</v>
      </c>
      <c r="J22" s="181">
        <f t="shared" si="4"/>
        <v>157868.97</v>
      </c>
      <c r="K22" s="180">
        <f t="shared" si="4"/>
        <v>0</v>
      </c>
      <c r="L22" s="180">
        <f t="shared" si="4"/>
        <v>0</v>
      </c>
      <c r="M22" s="180" t="e">
        <f t="shared" si="4"/>
        <v>#REF!</v>
      </c>
      <c r="N22" s="180" t="e">
        <f t="shared" si="4"/>
        <v>#REF!</v>
      </c>
      <c r="O22" s="181">
        <f t="shared" si="4"/>
        <v>0</v>
      </c>
    </row>
    <row r="23" spans="1:15" s="164" customFormat="1" ht="14.25">
      <c r="A23" s="200" t="s">
        <v>535</v>
      </c>
      <c r="B23" s="182">
        <f>SUM(B24:B36)</f>
        <v>0</v>
      </c>
      <c r="C23" s="184">
        <f t="shared" ref="C23:O23" si="5">SUM(C24:C36)</f>
        <v>0</v>
      </c>
      <c r="D23" s="182">
        <f t="shared" si="5"/>
        <v>0</v>
      </c>
      <c r="E23" s="183">
        <f t="shared" si="5"/>
        <v>0</v>
      </c>
      <c r="F23" s="183">
        <f t="shared" si="5"/>
        <v>0</v>
      </c>
      <c r="G23" s="183">
        <f t="shared" si="5"/>
        <v>0</v>
      </c>
      <c r="H23" s="183">
        <f t="shared" si="5"/>
        <v>0</v>
      </c>
      <c r="I23" s="183" t="e">
        <f t="shared" si="5"/>
        <v>#REF!</v>
      </c>
      <c r="J23" s="184">
        <f t="shared" si="5"/>
        <v>92868.97</v>
      </c>
      <c r="K23" s="183">
        <f t="shared" si="5"/>
        <v>0</v>
      </c>
      <c r="L23" s="183">
        <f t="shared" si="5"/>
        <v>0</v>
      </c>
      <c r="M23" s="183">
        <f t="shared" si="5"/>
        <v>0</v>
      </c>
      <c r="N23" s="183" t="e">
        <f t="shared" si="5"/>
        <v>#REF!</v>
      </c>
      <c r="O23" s="184">
        <f t="shared" si="5"/>
        <v>0</v>
      </c>
    </row>
    <row r="24" spans="1:15" s="165" customFormat="1" ht="12.75">
      <c r="A24" s="201" t="s">
        <v>531</v>
      </c>
      <c r="B24" s="185"/>
      <c r="C24" s="195"/>
      <c r="D24" s="185"/>
      <c r="E24" s="186"/>
      <c r="F24" s="186"/>
      <c r="G24" s="186"/>
      <c r="H24" s="186"/>
      <c r="I24" s="186">
        <v>328099.53000000003</v>
      </c>
      <c r="J24" s="187"/>
      <c r="K24" s="186"/>
      <c r="L24" s="186"/>
      <c r="M24" s="186"/>
      <c r="N24" s="186"/>
      <c r="O24" s="187"/>
    </row>
    <row r="25" spans="1:15" s="165" customFormat="1" ht="12.75">
      <c r="A25" s="201" t="s">
        <v>616</v>
      </c>
      <c r="B25" s="185"/>
      <c r="C25" s="195"/>
      <c r="D25" s="185"/>
      <c r="E25" s="186"/>
      <c r="F25" s="186"/>
      <c r="G25" s="186"/>
      <c r="H25" s="186"/>
      <c r="I25" s="186"/>
      <c r="J25" s="187"/>
      <c r="K25" s="186"/>
      <c r="L25" s="186"/>
      <c r="M25" s="186"/>
      <c r="N25" s="186"/>
      <c r="O25" s="187"/>
    </row>
    <row r="26" spans="1:15" s="165" customFormat="1" ht="12.75">
      <c r="A26" s="201" t="s">
        <v>550</v>
      </c>
      <c r="B26" s="185"/>
      <c r="C26" s="195"/>
      <c r="D26" s="185"/>
      <c r="E26" s="186"/>
      <c r="F26" s="186"/>
      <c r="G26" s="186"/>
      <c r="H26" s="186"/>
      <c r="I26" s="186"/>
      <c r="J26" s="187">
        <v>92868.97</v>
      </c>
      <c r="K26" s="186"/>
      <c r="L26" s="186"/>
      <c r="M26" s="186"/>
      <c r="N26" s="186"/>
      <c r="O26" s="187"/>
    </row>
    <row r="27" spans="1:15" s="165" customFormat="1" ht="12.75">
      <c r="A27" s="201" t="s">
        <v>657</v>
      </c>
      <c r="B27" s="185"/>
      <c r="C27" s="195"/>
      <c r="D27" s="185"/>
      <c r="E27" s="186"/>
      <c r="F27" s="186"/>
      <c r="G27" s="186"/>
      <c r="H27" s="186"/>
      <c r="I27" s="186" t="e">
        <f>Etranger!#REF!</f>
        <v>#REF!</v>
      </c>
      <c r="J27" s="187"/>
      <c r="K27" s="186"/>
      <c r="L27" s="186"/>
      <c r="M27" s="186"/>
      <c r="N27" s="186"/>
      <c r="O27" s="187"/>
    </row>
    <row r="28" spans="1:15" s="165" customFormat="1" ht="12.75">
      <c r="A28" s="201" t="s">
        <v>553</v>
      </c>
      <c r="B28" s="185"/>
      <c r="C28" s="195"/>
      <c r="D28" s="185"/>
      <c r="E28" s="186"/>
      <c r="F28" s="186"/>
      <c r="G28" s="186"/>
      <c r="H28" s="186"/>
      <c r="I28" s="186"/>
      <c r="J28" s="187"/>
      <c r="K28" s="186"/>
      <c r="L28" s="186"/>
      <c r="M28" s="186"/>
      <c r="N28" s="186"/>
      <c r="O28" s="187"/>
    </row>
    <row r="29" spans="1:15" s="165" customFormat="1" ht="12.75">
      <c r="A29" s="201" t="s">
        <v>554</v>
      </c>
      <c r="B29" s="185"/>
      <c r="C29" s="195"/>
      <c r="D29" s="185"/>
      <c r="E29" s="186"/>
      <c r="F29" s="186"/>
      <c r="G29" s="186"/>
      <c r="H29" s="186"/>
      <c r="I29" s="186" t="e">
        <f>Etranger!#REF!*1.36567</f>
        <v>#REF!</v>
      </c>
      <c r="J29" s="187"/>
      <c r="K29" s="186"/>
      <c r="L29" s="186"/>
      <c r="M29" s="186"/>
      <c r="N29" s="186"/>
      <c r="O29" s="187"/>
    </row>
    <row r="30" spans="1:15" s="165" customFormat="1" ht="12.75">
      <c r="A30" s="201" t="s">
        <v>532</v>
      </c>
      <c r="B30" s="185"/>
      <c r="C30" s="195"/>
      <c r="D30" s="185"/>
      <c r="E30" s="186"/>
      <c r="F30" s="186"/>
      <c r="G30" s="186"/>
      <c r="H30" s="186"/>
      <c r="I30" s="186"/>
      <c r="J30" s="187"/>
      <c r="K30" s="186"/>
      <c r="L30" s="186"/>
      <c r="M30" s="186"/>
      <c r="N30" s="186" t="e">
        <f>Etranger!#REF!</f>
        <v>#REF!</v>
      </c>
      <c r="O30" s="187"/>
    </row>
    <row r="31" spans="1:15" s="165" customFormat="1" ht="12.75">
      <c r="A31" s="201" t="s">
        <v>533</v>
      </c>
      <c r="B31" s="185"/>
      <c r="C31" s="195"/>
      <c r="D31" s="185"/>
      <c r="E31" s="186"/>
      <c r="F31" s="186"/>
      <c r="G31" s="186"/>
      <c r="H31" s="186"/>
      <c r="I31" s="186"/>
      <c r="J31" s="187"/>
      <c r="K31" s="186"/>
      <c r="L31" s="186"/>
      <c r="M31" s="186"/>
      <c r="N31" s="186" t="e">
        <f>Etranger!#REF!</f>
        <v>#REF!</v>
      </c>
      <c r="O31" s="187"/>
    </row>
    <row r="32" spans="1:15" s="165" customFormat="1" ht="12.75">
      <c r="A32" s="201" t="s">
        <v>545</v>
      </c>
      <c r="B32" s="185"/>
      <c r="C32" s="195"/>
      <c r="D32" s="185"/>
      <c r="E32" s="186"/>
      <c r="F32" s="186"/>
      <c r="G32" s="186"/>
      <c r="H32" s="186"/>
      <c r="I32" s="186"/>
      <c r="J32" s="187"/>
      <c r="K32" s="186"/>
      <c r="L32" s="186"/>
      <c r="M32" s="186"/>
      <c r="N32" s="186"/>
      <c r="O32" s="187"/>
    </row>
    <row r="33" spans="1:15" s="165" customFormat="1" ht="12.75">
      <c r="A33" s="201" t="s">
        <v>534</v>
      </c>
      <c r="B33" s="185"/>
      <c r="C33" s="195"/>
      <c r="D33" s="185"/>
      <c r="E33" s="186"/>
      <c r="F33" s="186"/>
      <c r="G33" s="186"/>
      <c r="H33" s="186"/>
      <c r="I33" s="186"/>
      <c r="J33" s="187"/>
      <c r="K33" s="186"/>
      <c r="L33" s="186"/>
      <c r="M33" s="186"/>
      <c r="N33" s="186"/>
      <c r="O33" s="187"/>
    </row>
    <row r="34" spans="1:15" s="165" customFormat="1" ht="12.75">
      <c r="A34" s="201" t="s">
        <v>536</v>
      </c>
      <c r="B34" s="185"/>
      <c r="C34" s="195"/>
      <c r="D34" s="185"/>
      <c r="E34" s="186"/>
      <c r="F34" s="186"/>
      <c r="G34" s="186"/>
      <c r="H34" s="186"/>
      <c r="I34" s="186"/>
      <c r="J34" s="187"/>
      <c r="K34" s="186"/>
      <c r="L34" s="186"/>
      <c r="M34" s="186"/>
      <c r="N34" s="186"/>
      <c r="O34" s="187"/>
    </row>
    <row r="35" spans="1:15" s="165" customFormat="1" ht="12.75">
      <c r="A35" s="201" t="s">
        <v>541</v>
      </c>
      <c r="B35" s="185"/>
      <c r="C35" s="195"/>
      <c r="D35" s="185"/>
      <c r="E35" s="186"/>
      <c r="F35" s="186"/>
      <c r="G35" s="186"/>
      <c r="H35" s="186"/>
      <c r="I35" s="186"/>
      <c r="J35" s="187"/>
      <c r="K35" s="186"/>
      <c r="L35" s="186"/>
      <c r="M35" s="186"/>
      <c r="N35" s="186"/>
      <c r="O35" s="187"/>
    </row>
    <row r="36" spans="1:15" s="165" customFormat="1" ht="12.75">
      <c r="A36" s="201" t="s">
        <v>537</v>
      </c>
      <c r="B36" s="185"/>
      <c r="C36" s="195"/>
      <c r="D36" s="185"/>
      <c r="E36" s="186"/>
      <c r="F36" s="186"/>
      <c r="G36" s="186"/>
      <c r="H36" s="186"/>
      <c r="I36" s="186"/>
      <c r="J36" s="187"/>
      <c r="K36" s="186"/>
      <c r="L36" s="186"/>
      <c r="M36" s="186"/>
      <c r="N36" s="186"/>
      <c r="O36" s="187"/>
    </row>
    <row r="37" spans="1:15" s="164" customFormat="1" ht="14.25">
      <c r="A37" s="202" t="s">
        <v>538</v>
      </c>
      <c r="B37" s="182">
        <f>SUM(B38:B47)</f>
        <v>471181.04399999999</v>
      </c>
      <c r="C37" s="184">
        <f t="shared" ref="C37:O37" si="6">SUM(C38:C47)</f>
        <v>35000</v>
      </c>
      <c r="D37" s="182">
        <f t="shared" si="6"/>
        <v>0</v>
      </c>
      <c r="E37" s="183">
        <f t="shared" si="6"/>
        <v>84129.244000000006</v>
      </c>
      <c r="F37" s="183">
        <f t="shared" si="6"/>
        <v>0</v>
      </c>
      <c r="G37" s="183">
        <f t="shared" si="6"/>
        <v>0</v>
      </c>
      <c r="H37" s="183">
        <f t="shared" si="6"/>
        <v>0</v>
      </c>
      <c r="I37" s="183">
        <f t="shared" si="6"/>
        <v>0</v>
      </c>
      <c r="J37" s="184">
        <f t="shared" si="6"/>
        <v>65000</v>
      </c>
      <c r="K37" s="183">
        <f t="shared" si="6"/>
        <v>0</v>
      </c>
      <c r="L37" s="183">
        <f t="shared" si="6"/>
        <v>0</v>
      </c>
      <c r="M37" s="183">
        <f t="shared" si="6"/>
        <v>37921.279999999999</v>
      </c>
      <c r="N37" s="183">
        <f t="shared" si="6"/>
        <v>0</v>
      </c>
      <c r="O37" s="184">
        <f t="shared" si="6"/>
        <v>0</v>
      </c>
    </row>
    <row r="38" spans="1:15">
      <c r="A38" s="201" t="s">
        <v>527</v>
      </c>
      <c r="B38" s="188">
        <v>41596.044000000002</v>
      </c>
      <c r="C38" s="190"/>
      <c r="D38" s="188"/>
      <c r="E38" s="189">
        <v>80009.244000000006</v>
      </c>
      <c r="F38" s="189"/>
      <c r="G38" s="189"/>
      <c r="H38" s="189"/>
      <c r="I38" s="189"/>
      <c r="J38" s="190"/>
      <c r="K38" s="189"/>
      <c r="L38" s="189"/>
      <c r="M38" s="189">
        <v>37041.279999999999</v>
      </c>
      <c r="N38" s="189"/>
      <c r="O38" s="190"/>
    </row>
    <row r="39" spans="1:15">
      <c r="A39" s="201" t="s">
        <v>528</v>
      </c>
      <c r="B39" s="188"/>
      <c r="C39" s="190"/>
      <c r="D39" s="188"/>
      <c r="E39" s="189"/>
      <c r="F39" s="189"/>
      <c r="G39" s="189"/>
      <c r="H39" s="189"/>
      <c r="I39" s="189"/>
      <c r="J39" s="190"/>
      <c r="K39" s="189"/>
      <c r="L39" s="189"/>
      <c r="M39" s="189"/>
      <c r="N39" s="189"/>
      <c r="O39" s="190"/>
    </row>
    <row r="40" spans="1:15">
      <c r="A40" s="201" t="s">
        <v>529</v>
      </c>
      <c r="B40" s="188"/>
      <c r="C40" s="190"/>
      <c r="D40" s="188"/>
      <c r="E40" s="189"/>
      <c r="F40" s="189"/>
      <c r="G40" s="189"/>
      <c r="H40" s="189"/>
      <c r="I40" s="189"/>
      <c r="J40" s="190"/>
      <c r="K40" s="189"/>
      <c r="L40" s="189"/>
      <c r="M40" s="189"/>
      <c r="N40" s="189"/>
      <c r="O40" s="190"/>
    </row>
    <row r="41" spans="1:15">
      <c r="A41" s="201" t="s">
        <v>559</v>
      </c>
      <c r="B41" s="188">
        <v>9585</v>
      </c>
      <c r="C41" s="190"/>
      <c r="D41" s="188"/>
      <c r="E41" s="189">
        <v>4120</v>
      </c>
      <c r="F41" s="189"/>
      <c r="G41" s="189"/>
      <c r="H41" s="189"/>
      <c r="I41" s="189"/>
      <c r="J41" s="190"/>
      <c r="K41" s="189"/>
      <c r="L41" s="189"/>
      <c r="M41" s="189">
        <v>880</v>
      </c>
      <c r="N41" s="189"/>
      <c r="O41" s="190"/>
    </row>
    <row r="42" spans="1:15">
      <c r="A42" s="201" t="s">
        <v>530</v>
      </c>
      <c r="B42" s="188"/>
      <c r="C42" s="190"/>
      <c r="D42" s="188"/>
      <c r="E42" s="189"/>
      <c r="F42" s="189"/>
      <c r="G42" s="189"/>
      <c r="H42" s="189"/>
      <c r="I42" s="189"/>
      <c r="J42" s="190"/>
      <c r="K42" s="189"/>
      <c r="L42" s="189"/>
      <c r="M42" s="189"/>
      <c r="N42" s="189"/>
      <c r="O42" s="190"/>
    </row>
    <row r="43" spans="1:15">
      <c r="A43" s="201" t="s">
        <v>551</v>
      </c>
      <c r="B43" s="188">
        <v>50000</v>
      </c>
      <c r="C43" s="190"/>
      <c r="D43" s="188"/>
      <c r="E43" s="189"/>
      <c r="F43" s="189"/>
      <c r="G43" s="189"/>
      <c r="H43" s="189"/>
      <c r="I43" s="189"/>
      <c r="J43" s="190"/>
      <c r="K43" s="189"/>
      <c r="L43" s="189"/>
      <c r="M43" s="189"/>
      <c r="N43" s="189"/>
      <c r="O43" s="190"/>
    </row>
    <row r="44" spans="1:15" s="164" customFormat="1">
      <c r="A44" s="201" t="s">
        <v>432</v>
      </c>
      <c r="B44" s="188">
        <v>295000</v>
      </c>
      <c r="C44" s="190">
        <v>35000</v>
      </c>
      <c r="D44" s="188"/>
      <c r="E44" s="189"/>
      <c r="F44" s="189"/>
      <c r="G44" s="189"/>
      <c r="H44" s="189"/>
      <c r="I44" s="189"/>
      <c r="J44" s="190"/>
      <c r="K44" s="189"/>
      <c r="L44" s="189"/>
      <c r="M44" s="189"/>
      <c r="N44" s="189">
        <v>0</v>
      </c>
      <c r="O44" s="190">
        <v>0</v>
      </c>
    </row>
    <row r="45" spans="1:15" s="164" customFormat="1">
      <c r="A45" s="201" t="s">
        <v>552</v>
      </c>
      <c r="B45" s="188">
        <v>75000</v>
      </c>
      <c r="C45" s="190"/>
      <c r="D45" s="188"/>
      <c r="E45" s="189"/>
      <c r="F45" s="189"/>
      <c r="G45" s="189"/>
      <c r="H45" s="189"/>
      <c r="I45" s="189"/>
      <c r="J45" s="190"/>
      <c r="K45" s="189"/>
      <c r="L45" s="189"/>
      <c r="M45" s="189"/>
      <c r="N45" s="189"/>
      <c r="O45" s="190"/>
    </row>
    <row r="46" spans="1:15">
      <c r="A46" s="201" t="s">
        <v>430</v>
      </c>
      <c r="B46" s="188"/>
      <c r="C46" s="190"/>
      <c r="D46" s="188"/>
      <c r="E46" s="189"/>
      <c r="F46" s="189"/>
      <c r="G46" s="189"/>
      <c r="H46" s="189"/>
      <c r="I46" s="189">
        <v>0</v>
      </c>
      <c r="J46" s="190">
        <v>65000</v>
      </c>
      <c r="K46" s="189"/>
      <c r="L46" s="189"/>
      <c r="M46" s="189"/>
      <c r="N46" s="189"/>
      <c r="O46" s="190"/>
    </row>
    <row r="47" spans="1:15">
      <c r="A47" s="201" t="s">
        <v>543</v>
      </c>
      <c r="B47" s="188"/>
      <c r="C47" s="190"/>
      <c r="D47" s="188"/>
      <c r="E47" s="189"/>
      <c r="F47" s="189"/>
      <c r="G47" s="189"/>
      <c r="H47" s="189"/>
      <c r="I47" s="189"/>
      <c r="J47" s="190"/>
      <c r="K47" s="189"/>
      <c r="L47" s="189"/>
      <c r="M47" s="189"/>
      <c r="N47" s="189"/>
      <c r="O47" s="190"/>
    </row>
    <row r="48" spans="1:15" s="164" customFormat="1" ht="14.25">
      <c r="A48" s="203" t="s">
        <v>540</v>
      </c>
      <c r="B48" s="191">
        <f>SUM(B49:B50)</f>
        <v>0</v>
      </c>
      <c r="C48" s="193">
        <f t="shared" ref="C48:O48" si="7">SUM(C49:C50)</f>
        <v>0</v>
      </c>
      <c r="D48" s="191">
        <f t="shared" si="7"/>
        <v>11640</v>
      </c>
      <c r="E48" s="192">
        <f t="shared" si="7"/>
        <v>76547</v>
      </c>
      <c r="F48" s="192">
        <f t="shared" si="7"/>
        <v>0</v>
      </c>
      <c r="G48" s="192">
        <f t="shared" si="7"/>
        <v>0</v>
      </c>
      <c r="H48" s="192">
        <f t="shared" si="7"/>
        <v>0</v>
      </c>
      <c r="I48" s="192">
        <f t="shared" si="7"/>
        <v>0</v>
      </c>
      <c r="J48" s="193">
        <f t="shared" si="7"/>
        <v>0</v>
      </c>
      <c r="K48" s="192">
        <f t="shared" si="7"/>
        <v>0</v>
      </c>
      <c r="L48" s="192">
        <f t="shared" si="7"/>
        <v>0</v>
      </c>
      <c r="M48" s="192" t="e">
        <f t="shared" si="7"/>
        <v>#REF!</v>
      </c>
      <c r="N48" s="192">
        <f t="shared" si="7"/>
        <v>0</v>
      </c>
      <c r="O48" s="193">
        <f t="shared" si="7"/>
        <v>0</v>
      </c>
    </row>
    <row r="49" spans="1:15">
      <c r="A49" s="201" t="s">
        <v>539</v>
      </c>
      <c r="B49" s="188"/>
      <c r="C49" s="190"/>
      <c r="D49" s="188">
        <f>+CMT!F45</f>
        <v>11640</v>
      </c>
      <c r="E49" s="189">
        <f>CMT!F46</f>
        <v>76547</v>
      </c>
      <c r="F49" s="189"/>
      <c r="G49" s="189"/>
      <c r="H49" s="189"/>
      <c r="I49" s="189"/>
      <c r="J49" s="190"/>
      <c r="K49" s="189"/>
      <c r="L49" s="189"/>
      <c r="M49" s="189">
        <f>CMT!F7</f>
        <v>6845.5709999999999</v>
      </c>
      <c r="N49" s="189"/>
      <c r="O49" s="190"/>
    </row>
    <row r="50" spans="1:15">
      <c r="A50" s="201" t="s">
        <v>475</v>
      </c>
      <c r="B50" s="188"/>
      <c r="C50" s="190"/>
      <c r="D50" s="188"/>
      <c r="E50" s="189"/>
      <c r="F50" s="189"/>
      <c r="G50" s="189"/>
      <c r="H50" s="189"/>
      <c r="I50" s="189"/>
      <c r="J50" s="190"/>
      <c r="K50" s="189"/>
      <c r="L50" s="189"/>
      <c r="M50" s="189" t="e">
        <f>EXPORT!#REF!+EXPORT!#REF!</f>
        <v>#REF!</v>
      </c>
      <c r="N50" s="189"/>
      <c r="O50" s="190"/>
    </row>
    <row r="51" spans="1:15" s="277" customFormat="1">
      <c r="A51" s="278" t="s">
        <v>544</v>
      </c>
      <c r="B51" s="279">
        <f t="shared" ref="B51:O51" si="8">B3+B4+B8-B22</f>
        <v>32295.897999999986</v>
      </c>
      <c r="C51" s="280">
        <f t="shared" si="8"/>
        <v>26106.983999999997</v>
      </c>
      <c r="D51" s="279">
        <f t="shared" si="8"/>
        <v>124851.93799999999</v>
      </c>
      <c r="E51" s="281">
        <f>E3+E4+E8-E22</f>
        <v>-1716242.7</v>
      </c>
      <c r="F51" s="281">
        <f t="shared" si="8"/>
        <v>163347.40100000001</v>
      </c>
      <c r="G51" s="281">
        <f t="shared" si="8"/>
        <v>807000</v>
      </c>
      <c r="H51" s="281">
        <f t="shared" si="8"/>
        <v>30109.866000000002</v>
      </c>
      <c r="I51" s="281" t="e">
        <f t="shared" si="8"/>
        <v>#REF!</v>
      </c>
      <c r="J51" s="280" t="e">
        <f t="shared" si="8"/>
        <v>#REF!</v>
      </c>
      <c r="K51" s="281">
        <f t="shared" si="8"/>
        <v>-52558.43</v>
      </c>
      <c r="L51" s="281">
        <f t="shared" si="8"/>
        <v>2724.1240000000107</v>
      </c>
      <c r="M51" s="281" t="e">
        <f t="shared" si="8"/>
        <v>#REF!</v>
      </c>
      <c r="N51" s="281" t="e">
        <f t="shared" si="8"/>
        <v>#REF!</v>
      </c>
      <c r="O51" s="280">
        <f t="shared" si="8"/>
        <v>134468.87</v>
      </c>
    </row>
    <row r="52" spans="1:15" s="277" customFormat="1" ht="15.75" thickBot="1">
      <c r="A52" s="282" t="s">
        <v>542</v>
      </c>
      <c r="B52" s="283">
        <v>-200000</v>
      </c>
      <c r="C52" s="284">
        <v>0</v>
      </c>
      <c r="D52" s="283">
        <v>0</v>
      </c>
      <c r="E52" s="285">
        <v>-1125000</v>
      </c>
      <c r="F52" s="285">
        <v>0</v>
      </c>
      <c r="G52" s="285">
        <v>-250000</v>
      </c>
      <c r="H52" s="285">
        <v>0</v>
      </c>
      <c r="I52" s="285">
        <v>0</v>
      </c>
      <c r="J52" s="284">
        <v>0</v>
      </c>
      <c r="K52" s="285">
        <v>-200000</v>
      </c>
      <c r="L52" s="285">
        <v>0</v>
      </c>
      <c r="M52" s="285">
        <v>-420000</v>
      </c>
      <c r="N52" s="285">
        <v>0</v>
      </c>
      <c r="O52" s="284">
        <v>0</v>
      </c>
    </row>
    <row r="53" spans="1:15">
      <c r="A53" s="165"/>
    </row>
    <row r="54" spans="1:15">
      <c r="A54" s="165"/>
    </row>
    <row r="55" spans="1:15">
      <c r="A55" s="165"/>
    </row>
    <row r="56" spans="1:15">
      <c r="A56" s="165"/>
    </row>
    <row r="57" spans="1:15">
      <c r="A57" s="165"/>
    </row>
    <row r="64" spans="1:15">
      <c r="G64" s="251"/>
    </row>
  </sheetData>
  <mergeCells count="3">
    <mergeCell ref="B1:C1"/>
    <mergeCell ref="D1:J1"/>
    <mergeCell ref="K1:O1"/>
  </mergeCells>
  <pageMargins left="0" right="0" top="0" bottom="0" header="0" footer="0"/>
  <pageSetup paperSize="9" scale="6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934"/>
  <sheetViews>
    <sheetView topLeftCell="A232" workbookViewId="0">
      <selection activeCell="H848" sqref="H848"/>
    </sheetView>
  </sheetViews>
  <sheetFormatPr baseColWidth="10" defaultRowHeight="15"/>
  <cols>
    <col min="1" max="1" width="9.28515625" bestFit="1" customWidth="1"/>
    <col min="2" max="2" width="34.42578125" bestFit="1" customWidth="1"/>
    <col min="3" max="3" width="10.7109375" bestFit="1" customWidth="1"/>
    <col min="4" max="4" width="13.85546875" style="2" bestFit="1" customWidth="1"/>
  </cols>
  <sheetData>
    <row r="1" spans="1:4" ht="15.75" thickBot="1">
      <c r="A1" s="15" t="s">
        <v>11</v>
      </c>
      <c r="B1" s="16" t="s">
        <v>10</v>
      </c>
      <c r="C1" s="16" t="s">
        <v>9</v>
      </c>
      <c r="D1" s="17" t="s">
        <v>8</v>
      </c>
    </row>
    <row r="2" spans="1:4">
      <c r="A2" s="3" t="s">
        <v>335</v>
      </c>
      <c r="B2" s="4" t="s">
        <v>334</v>
      </c>
      <c r="C2" s="5">
        <v>42410</v>
      </c>
      <c r="D2" s="6">
        <v>325</v>
      </c>
    </row>
    <row r="3" spans="1:4">
      <c r="A3" s="7" t="s">
        <v>815</v>
      </c>
      <c r="B3" s="8" t="s">
        <v>816</v>
      </c>
      <c r="C3" s="9">
        <v>42413</v>
      </c>
      <c r="D3" s="10">
        <v>1878.59</v>
      </c>
    </row>
    <row r="4" spans="1:4">
      <c r="A4" s="7" t="s">
        <v>817</v>
      </c>
      <c r="B4" s="8" t="s">
        <v>818</v>
      </c>
      <c r="C4" s="9">
        <v>42415</v>
      </c>
      <c r="D4" s="10">
        <v>74</v>
      </c>
    </row>
    <row r="5" spans="1:4">
      <c r="A5" s="7" t="s">
        <v>257</v>
      </c>
      <c r="B5" s="8" t="s">
        <v>256</v>
      </c>
      <c r="C5" s="9">
        <v>42415</v>
      </c>
      <c r="D5" s="10">
        <v>1028</v>
      </c>
    </row>
    <row r="6" spans="1:4">
      <c r="A6" s="7" t="s">
        <v>275</v>
      </c>
      <c r="B6" s="8" t="s">
        <v>274</v>
      </c>
      <c r="C6" s="9">
        <v>42415</v>
      </c>
      <c r="D6" s="10">
        <v>1095.9780000000001</v>
      </c>
    </row>
    <row r="7" spans="1:4">
      <c r="A7" s="7" t="s">
        <v>245</v>
      </c>
      <c r="B7" s="8" t="s">
        <v>244</v>
      </c>
      <c r="C7" s="9">
        <v>42416</v>
      </c>
      <c r="D7" s="10">
        <v>1661.3820000000001</v>
      </c>
    </row>
    <row r="8" spans="1:4">
      <c r="A8" s="7" t="s">
        <v>251</v>
      </c>
      <c r="B8" s="8" t="s">
        <v>250</v>
      </c>
      <c r="C8" s="9">
        <v>42416</v>
      </c>
      <c r="D8" s="10">
        <v>1579.2909999999999</v>
      </c>
    </row>
    <row r="9" spans="1:4">
      <c r="A9" s="7" t="s">
        <v>229</v>
      </c>
      <c r="B9" s="8" t="s">
        <v>228</v>
      </c>
      <c r="C9" s="9">
        <v>42416</v>
      </c>
      <c r="D9" s="10">
        <v>325</v>
      </c>
    </row>
    <row r="10" spans="1:4">
      <c r="A10" s="7" t="s">
        <v>93</v>
      </c>
      <c r="B10" s="8" t="s">
        <v>92</v>
      </c>
      <c r="C10" s="9">
        <v>42416</v>
      </c>
      <c r="D10" s="10">
        <v>548.58299999999997</v>
      </c>
    </row>
    <row r="11" spans="1:4">
      <c r="A11" s="7" t="s">
        <v>586</v>
      </c>
      <c r="B11" s="8" t="s">
        <v>587</v>
      </c>
      <c r="C11" s="9">
        <v>42417</v>
      </c>
      <c r="D11" s="10">
        <v>644.25</v>
      </c>
    </row>
    <row r="12" spans="1:4">
      <c r="A12" s="7" t="s">
        <v>582</v>
      </c>
      <c r="B12" s="8" t="s">
        <v>583</v>
      </c>
      <c r="C12" s="9">
        <v>42417</v>
      </c>
      <c r="D12" s="10">
        <v>762.29399999999998</v>
      </c>
    </row>
    <row r="13" spans="1:4">
      <c r="A13" s="7" t="s">
        <v>634</v>
      </c>
      <c r="B13" s="8" t="s">
        <v>635</v>
      </c>
      <c r="C13" s="9">
        <v>42417</v>
      </c>
      <c r="D13" s="10">
        <v>2000</v>
      </c>
    </row>
    <row r="14" spans="1:4">
      <c r="A14" s="7" t="s">
        <v>85</v>
      </c>
      <c r="B14" s="8" t="s">
        <v>84</v>
      </c>
      <c r="C14" s="9">
        <v>42417</v>
      </c>
      <c r="D14" s="10">
        <v>784.09900000000005</v>
      </c>
    </row>
    <row r="15" spans="1:4">
      <c r="A15" s="7" t="s">
        <v>243</v>
      </c>
      <c r="B15" s="8" t="s">
        <v>242</v>
      </c>
      <c r="C15" s="9">
        <v>42417</v>
      </c>
      <c r="D15" s="10">
        <v>3000</v>
      </c>
    </row>
    <row r="16" spans="1:4">
      <c r="A16" s="7" t="s">
        <v>628</v>
      </c>
      <c r="B16" s="8" t="s">
        <v>629</v>
      </c>
      <c r="C16" s="9">
        <v>42417</v>
      </c>
      <c r="D16" s="10">
        <v>4225.34</v>
      </c>
    </row>
    <row r="17" spans="1:4">
      <c r="A17" s="7" t="s">
        <v>245</v>
      </c>
      <c r="B17" s="8" t="s">
        <v>244</v>
      </c>
      <c r="C17" s="9">
        <v>42418</v>
      </c>
      <c r="D17" s="10">
        <v>1661.3820000000001</v>
      </c>
    </row>
    <row r="18" spans="1:4">
      <c r="A18" s="7" t="s">
        <v>325</v>
      </c>
      <c r="B18" s="8" t="s">
        <v>324</v>
      </c>
      <c r="C18" s="9">
        <v>42418</v>
      </c>
      <c r="D18" s="10">
        <v>785.48099999999999</v>
      </c>
    </row>
    <row r="19" spans="1:4">
      <c r="A19" s="7" t="s">
        <v>275</v>
      </c>
      <c r="B19" s="8" t="s">
        <v>274</v>
      </c>
      <c r="C19" s="9">
        <v>42418</v>
      </c>
      <c r="D19" s="10">
        <v>1080</v>
      </c>
    </row>
    <row r="20" spans="1:4">
      <c r="A20" s="7" t="s">
        <v>19</v>
      </c>
      <c r="B20" s="8" t="s">
        <v>18</v>
      </c>
      <c r="C20" s="9">
        <v>42418</v>
      </c>
      <c r="D20" s="10">
        <v>4000</v>
      </c>
    </row>
    <row r="21" spans="1:4">
      <c r="A21" s="7" t="s">
        <v>778</v>
      </c>
      <c r="B21" s="8" t="s">
        <v>779</v>
      </c>
      <c r="C21" s="9">
        <v>42418</v>
      </c>
      <c r="D21" s="10">
        <v>90</v>
      </c>
    </row>
    <row r="22" spans="1:4">
      <c r="A22" s="7" t="s">
        <v>634</v>
      </c>
      <c r="B22" s="8" t="s">
        <v>635</v>
      </c>
      <c r="C22" s="9">
        <v>42419</v>
      </c>
      <c r="D22" s="10">
        <v>2000</v>
      </c>
    </row>
    <row r="23" spans="1:4">
      <c r="A23" s="7" t="s">
        <v>15</v>
      </c>
      <c r="B23" s="8" t="s">
        <v>14</v>
      </c>
      <c r="C23" s="9">
        <v>42419</v>
      </c>
      <c r="D23" s="10">
        <v>4300</v>
      </c>
    </row>
    <row r="24" spans="1:4">
      <c r="A24" s="7" t="s">
        <v>119</v>
      </c>
      <c r="B24" s="8" t="s">
        <v>118</v>
      </c>
      <c r="C24" s="9">
        <v>42420</v>
      </c>
      <c r="D24" s="10">
        <v>4954.5879999999997</v>
      </c>
    </row>
    <row r="25" spans="1:4">
      <c r="A25" s="7" t="s">
        <v>604</v>
      </c>
      <c r="B25" s="8" t="s">
        <v>605</v>
      </c>
      <c r="C25" s="9">
        <v>42420</v>
      </c>
      <c r="D25" s="10">
        <v>2000</v>
      </c>
    </row>
    <row r="26" spans="1:4">
      <c r="A26" s="7" t="s">
        <v>145</v>
      </c>
      <c r="B26" s="8" t="s">
        <v>144</v>
      </c>
      <c r="C26" s="9">
        <v>42420</v>
      </c>
      <c r="D26" s="10">
        <v>610</v>
      </c>
    </row>
    <row r="27" spans="1:4">
      <c r="A27" s="7" t="s">
        <v>626</v>
      </c>
      <c r="B27" s="8" t="s">
        <v>627</v>
      </c>
      <c r="C27" s="9">
        <v>42420</v>
      </c>
      <c r="D27" s="10">
        <v>521</v>
      </c>
    </row>
    <row r="28" spans="1:4">
      <c r="A28" s="7" t="s">
        <v>293</v>
      </c>
      <c r="B28" s="8" t="s">
        <v>292</v>
      </c>
      <c r="C28" s="9">
        <v>42420</v>
      </c>
      <c r="D28" s="10">
        <v>1535.529</v>
      </c>
    </row>
    <row r="29" spans="1:4">
      <c r="A29" s="7" t="s">
        <v>95</v>
      </c>
      <c r="B29" s="8" t="s">
        <v>94</v>
      </c>
      <c r="C29" s="9">
        <v>42420</v>
      </c>
      <c r="D29" s="10">
        <v>980.8</v>
      </c>
    </row>
    <row r="30" spans="1:4">
      <c r="A30" s="7" t="s">
        <v>73</v>
      </c>
      <c r="B30" s="8" t="s">
        <v>72</v>
      </c>
      <c r="C30" s="9">
        <v>42420</v>
      </c>
      <c r="D30" s="10">
        <v>477</v>
      </c>
    </row>
    <row r="31" spans="1:4">
      <c r="A31" s="7" t="s">
        <v>289</v>
      </c>
      <c r="B31" s="8" t="s">
        <v>288</v>
      </c>
      <c r="C31" s="9">
        <v>42420</v>
      </c>
      <c r="D31" s="10">
        <v>2483.9720000000002</v>
      </c>
    </row>
    <row r="32" spans="1:4">
      <c r="A32" s="7" t="s">
        <v>299</v>
      </c>
      <c r="B32" s="8" t="s">
        <v>298</v>
      </c>
      <c r="C32" s="9">
        <v>42420</v>
      </c>
      <c r="D32" s="10">
        <v>478.57100000000003</v>
      </c>
    </row>
    <row r="33" spans="1:4">
      <c r="A33" s="7" t="s">
        <v>299</v>
      </c>
      <c r="B33" s="8" t="s">
        <v>298</v>
      </c>
      <c r="C33" s="9">
        <v>42420</v>
      </c>
      <c r="D33" s="10">
        <v>468</v>
      </c>
    </row>
    <row r="34" spans="1:4">
      <c r="A34" s="7" t="s">
        <v>285</v>
      </c>
      <c r="B34" s="8" t="s">
        <v>284</v>
      </c>
      <c r="C34" s="9">
        <v>42420</v>
      </c>
      <c r="D34" s="10">
        <v>1323.827</v>
      </c>
    </row>
    <row r="35" spans="1:4">
      <c r="A35" s="7" t="s">
        <v>29</v>
      </c>
      <c r="B35" s="8" t="s">
        <v>28</v>
      </c>
      <c r="C35" s="9">
        <v>42420</v>
      </c>
      <c r="D35" s="10">
        <v>2000</v>
      </c>
    </row>
    <row r="36" spans="1:4">
      <c r="A36" s="7" t="s">
        <v>31</v>
      </c>
      <c r="B36" s="8" t="s">
        <v>30</v>
      </c>
      <c r="C36" s="9">
        <v>42420</v>
      </c>
      <c r="D36" s="10">
        <v>790</v>
      </c>
    </row>
    <row r="37" spans="1:4">
      <c r="A37" s="7" t="s">
        <v>23</v>
      </c>
      <c r="B37" s="8" t="s">
        <v>22</v>
      </c>
      <c r="C37" s="9">
        <v>42420</v>
      </c>
      <c r="D37" s="10">
        <v>1300</v>
      </c>
    </row>
    <row r="38" spans="1:4">
      <c r="A38" s="7" t="s">
        <v>307</v>
      </c>
      <c r="B38" s="8" t="s">
        <v>306</v>
      </c>
      <c r="C38" s="9">
        <v>42420</v>
      </c>
      <c r="D38" s="10">
        <v>2500</v>
      </c>
    </row>
    <row r="39" spans="1:4">
      <c r="A39" s="7" t="s">
        <v>157</v>
      </c>
      <c r="B39" s="8" t="s">
        <v>156</v>
      </c>
      <c r="C39" s="9">
        <v>42420</v>
      </c>
      <c r="D39" s="10">
        <v>850</v>
      </c>
    </row>
    <row r="40" spans="1:4">
      <c r="A40" s="7" t="s">
        <v>225</v>
      </c>
      <c r="B40" s="8" t="s">
        <v>224</v>
      </c>
      <c r="C40" s="9">
        <v>42420</v>
      </c>
      <c r="D40" s="10">
        <v>752.89200000000005</v>
      </c>
    </row>
    <row r="41" spans="1:4">
      <c r="A41" s="7" t="s">
        <v>337</v>
      </c>
      <c r="B41" s="8" t="s">
        <v>336</v>
      </c>
      <c r="C41" s="9">
        <v>42420</v>
      </c>
      <c r="D41" s="10">
        <v>185</v>
      </c>
    </row>
    <row r="42" spans="1:4">
      <c r="A42" s="7" t="s">
        <v>778</v>
      </c>
      <c r="B42" s="8" t="s">
        <v>779</v>
      </c>
      <c r="C42" s="9">
        <v>42420</v>
      </c>
      <c r="D42" s="10">
        <v>790</v>
      </c>
    </row>
    <row r="43" spans="1:4">
      <c r="A43" s="7" t="s">
        <v>355</v>
      </c>
      <c r="B43" s="8" t="s">
        <v>354</v>
      </c>
      <c r="C43" s="9">
        <v>42420</v>
      </c>
      <c r="D43" s="10">
        <v>1200</v>
      </c>
    </row>
    <row r="44" spans="1:4">
      <c r="A44" s="7" t="s">
        <v>355</v>
      </c>
      <c r="B44" s="8" t="s">
        <v>354</v>
      </c>
      <c r="C44" s="9">
        <v>42420</v>
      </c>
      <c r="D44" s="10">
        <v>440</v>
      </c>
    </row>
    <row r="45" spans="1:4">
      <c r="A45" s="7" t="s">
        <v>739</v>
      </c>
      <c r="B45" s="8" t="s">
        <v>740</v>
      </c>
      <c r="C45" s="9">
        <v>42420</v>
      </c>
      <c r="D45" s="10">
        <v>655.10599999999999</v>
      </c>
    </row>
    <row r="46" spans="1:4">
      <c r="A46" s="7" t="s">
        <v>337</v>
      </c>
      <c r="B46" s="8" t="s">
        <v>336</v>
      </c>
      <c r="C46" s="9">
        <v>42420</v>
      </c>
      <c r="D46" s="10">
        <v>400</v>
      </c>
    </row>
    <row r="47" spans="1:4">
      <c r="A47" s="7" t="s">
        <v>335</v>
      </c>
      <c r="B47" s="8" t="s">
        <v>334</v>
      </c>
      <c r="C47" s="9">
        <v>42420</v>
      </c>
      <c r="D47" s="10">
        <v>250</v>
      </c>
    </row>
    <row r="48" spans="1:4">
      <c r="A48" s="7" t="s">
        <v>355</v>
      </c>
      <c r="B48" s="8" t="s">
        <v>354</v>
      </c>
      <c r="C48" s="9">
        <v>42420</v>
      </c>
      <c r="D48" s="10">
        <v>130</v>
      </c>
    </row>
    <row r="49" spans="1:4">
      <c r="A49" s="7" t="s">
        <v>157</v>
      </c>
      <c r="B49" s="8" t="s">
        <v>156</v>
      </c>
      <c r="C49" s="9">
        <v>42420</v>
      </c>
      <c r="D49" s="10">
        <v>790.72299999999996</v>
      </c>
    </row>
    <row r="50" spans="1:4">
      <c r="A50" s="7" t="s">
        <v>351</v>
      </c>
      <c r="B50" s="8" t="s">
        <v>350</v>
      </c>
      <c r="C50" s="9">
        <v>42420</v>
      </c>
      <c r="D50" s="10">
        <v>665.90899999999999</v>
      </c>
    </row>
    <row r="51" spans="1:4">
      <c r="A51" s="7" t="s">
        <v>245</v>
      </c>
      <c r="B51" s="8" t="s">
        <v>244</v>
      </c>
      <c r="C51" s="9">
        <v>42421</v>
      </c>
      <c r="D51" s="10">
        <v>1661.383</v>
      </c>
    </row>
    <row r="52" spans="1:4">
      <c r="A52" s="7" t="s">
        <v>281</v>
      </c>
      <c r="B52" s="8" t="s">
        <v>280</v>
      </c>
      <c r="C52" s="9">
        <v>42421</v>
      </c>
      <c r="D52" s="10">
        <v>400</v>
      </c>
    </row>
    <row r="53" spans="1:4">
      <c r="A53" s="7" t="s">
        <v>5</v>
      </c>
      <c r="B53" s="8" t="s">
        <v>4</v>
      </c>
      <c r="C53" s="9">
        <v>42422</v>
      </c>
      <c r="D53" s="10">
        <v>791.55200000000002</v>
      </c>
    </row>
    <row r="54" spans="1:4">
      <c r="A54" s="7" t="s">
        <v>227</v>
      </c>
      <c r="B54" s="8" t="s">
        <v>226</v>
      </c>
      <c r="C54" s="9">
        <v>42422</v>
      </c>
      <c r="D54" s="10">
        <v>650</v>
      </c>
    </row>
    <row r="55" spans="1:4">
      <c r="A55" s="7" t="s">
        <v>395</v>
      </c>
      <c r="B55" s="8" t="s">
        <v>394</v>
      </c>
      <c r="C55" s="9">
        <v>42422</v>
      </c>
      <c r="D55" s="10">
        <v>1525.2660000000001</v>
      </c>
    </row>
    <row r="56" spans="1:4">
      <c r="A56" s="7" t="s">
        <v>590</v>
      </c>
      <c r="B56" s="8" t="s">
        <v>591</v>
      </c>
      <c r="C56" s="9">
        <v>42422</v>
      </c>
      <c r="D56" s="10">
        <v>1407</v>
      </c>
    </row>
    <row r="57" spans="1:4">
      <c r="A57" s="7" t="s">
        <v>275</v>
      </c>
      <c r="B57" s="8" t="s">
        <v>274</v>
      </c>
      <c r="C57" s="9">
        <v>42422</v>
      </c>
      <c r="D57" s="10">
        <v>1434</v>
      </c>
    </row>
    <row r="58" spans="1:4">
      <c r="A58" s="7" t="s">
        <v>333</v>
      </c>
      <c r="B58" s="8" t="s">
        <v>332</v>
      </c>
      <c r="C58" s="9">
        <v>42422</v>
      </c>
      <c r="D58" s="10">
        <v>1568.6869999999999</v>
      </c>
    </row>
    <row r="59" spans="1:4">
      <c r="A59" s="7" t="s">
        <v>634</v>
      </c>
      <c r="B59" s="8" t="s">
        <v>635</v>
      </c>
      <c r="C59" s="9">
        <v>42423</v>
      </c>
      <c r="D59" s="10">
        <v>2000</v>
      </c>
    </row>
    <row r="60" spans="1:4">
      <c r="A60" s="7" t="s">
        <v>229</v>
      </c>
      <c r="B60" s="8" t="s">
        <v>228</v>
      </c>
      <c r="C60" s="9">
        <v>42423</v>
      </c>
      <c r="D60" s="10">
        <v>325</v>
      </c>
    </row>
    <row r="61" spans="1:4">
      <c r="A61" s="7" t="s">
        <v>93</v>
      </c>
      <c r="B61" s="8" t="s">
        <v>92</v>
      </c>
      <c r="C61" s="9">
        <v>42423</v>
      </c>
      <c r="D61" s="10">
        <v>700</v>
      </c>
    </row>
    <row r="62" spans="1:4">
      <c r="A62" s="7" t="s">
        <v>668</v>
      </c>
      <c r="B62" s="8" t="s">
        <v>669</v>
      </c>
      <c r="C62" s="9">
        <v>42423</v>
      </c>
      <c r="D62" s="10">
        <v>1090</v>
      </c>
    </row>
    <row r="63" spans="1:4">
      <c r="A63" s="7" t="s">
        <v>85</v>
      </c>
      <c r="B63" s="8" t="s">
        <v>84</v>
      </c>
      <c r="C63" s="9">
        <v>42423</v>
      </c>
      <c r="D63" s="10">
        <v>784.09900000000005</v>
      </c>
    </row>
    <row r="64" spans="1:4">
      <c r="A64" s="7" t="s">
        <v>275</v>
      </c>
      <c r="B64" s="8" t="s">
        <v>274</v>
      </c>
      <c r="C64" s="9">
        <v>42423</v>
      </c>
      <c r="D64" s="10">
        <v>1080</v>
      </c>
    </row>
    <row r="65" spans="1:4">
      <c r="A65" s="7" t="s">
        <v>77</v>
      </c>
      <c r="B65" s="8" t="s">
        <v>76</v>
      </c>
      <c r="C65" s="9">
        <v>42423</v>
      </c>
      <c r="D65" s="10">
        <v>1142.2739999999999</v>
      </c>
    </row>
    <row r="66" spans="1:4">
      <c r="A66" s="7" t="s">
        <v>5</v>
      </c>
      <c r="B66" s="8" t="s">
        <v>4</v>
      </c>
      <c r="C66" s="9">
        <v>42424</v>
      </c>
      <c r="D66" s="10">
        <v>829</v>
      </c>
    </row>
    <row r="67" spans="1:4">
      <c r="A67" s="7" t="s">
        <v>269</v>
      </c>
      <c r="B67" s="8" t="s">
        <v>268</v>
      </c>
      <c r="C67" s="9">
        <v>42425</v>
      </c>
      <c r="D67" s="10">
        <v>1661</v>
      </c>
    </row>
    <row r="68" spans="1:4">
      <c r="A68" s="7" t="s">
        <v>407</v>
      </c>
      <c r="B68" s="8" t="s">
        <v>406</v>
      </c>
      <c r="C68" s="9">
        <v>42425</v>
      </c>
      <c r="D68" s="10">
        <v>1329.7919999999999</v>
      </c>
    </row>
    <row r="69" spans="1:4">
      <c r="A69" s="7" t="s">
        <v>279</v>
      </c>
      <c r="B69" s="8" t="s">
        <v>278</v>
      </c>
      <c r="C69" s="9">
        <v>42425</v>
      </c>
      <c r="D69" s="10">
        <v>363.63</v>
      </c>
    </row>
    <row r="70" spans="1:4">
      <c r="A70" s="7" t="s">
        <v>95</v>
      </c>
      <c r="B70" s="8" t="s">
        <v>94</v>
      </c>
      <c r="C70" s="9">
        <v>42425</v>
      </c>
      <c r="D70" s="10">
        <v>980.5</v>
      </c>
    </row>
    <row r="71" spans="1:4">
      <c r="A71" s="7" t="s">
        <v>273</v>
      </c>
      <c r="B71" s="8" t="s">
        <v>272</v>
      </c>
      <c r="C71" s="9">
        <v>42425</v>
      </c>
      <c r="D71" s="10">
        <v>876.78599999999994</v>
      </c>
    </row>
    <row r="72" spans="1:4">
      <c r="A72" s="7" t="s">
        <v>271</v>
      </c>
      <c r="B72" s="8" t="s">
        <v>270</v>
      </c>
      <c r="C72" s="9">
        <v>42425</v>
      </c>
      <c r="D72" s="10">
        <v>1115.569</v>
      </c>
    </row>
    <row r="73" spans="1:4">
      <c r="A73" s="7" t="s">
        <v>247</v>
      </c>
      <c r="B73" s="8" t="s">
        <v>246</v>
      </c>
      <c r="C73" s="9">
        <v>42425</v>
      </c>
      <c r="D73" s="10">
        <v>2044.9780000000001</v>
      </c>
    </row>
    <row r="74" spans="1:4">
      <c r="A74" s="7" t="s">
        <v>83</v>
      </c>
      <c r="B74" s="8" t="s">
        <v>82</v>
      </c>
      <c r="C74" s="9">
        <v>42425</v>
      </c>
      <c r="D74" s="10">
        <v>3500</v>
      </c>
    </row>
    <row r="75" spans="1:4">
      <c r="A75" s="7" t="s">
        <v>73</v>
      </c>
      <c r="B75" s="8" t="s">
        <v>72</v>
      </c>
      <c r="C75" s="9">
        <v>42425</v>
      </c>
      <c r="D75" s="10">
        <v>478</v>
      </c>
    </row>
    <row r="76" spans="1:4">
      <c r="A76" s="7" t="s">
        <v>594</v>
      </c>
      <c r="B76" s="8" t="s">
        <v>595</v>
      </c>
      <c r="C76" s="9">
        <v>42425</v>
      </c>
      <c r="D76" s="10">
        <v>1186.3879999999999</v>
      </c>
    </row>
    <row r="77" spans="1:4">
      <c r="A77" s="7" t="s">
        <v>261</v>
      </c>
      <c r="B77" s="8" t="s">
        <v>260</v>
      </c>
      <c r="C77" s="9">
        <v>42425</v>
      </c>
      <c r="D77" s="10">
        <v>2521.7269999999999</v>
      </c>
    </row>
    <row r="78" spans="1:4">
      <c r="A78" s="7" t="s">
        <v>243</v>
      </c>
      <c r="B78" s="8" t="s">
        <v>242</v>
      </c>
      <c r="C78" s="9">
        <v>42425</v>
      </c>
      <c r="D78" s="10">
        <v>3000</v>
      </c>
    </row>
    <row r="79" spans="1:4">
      <c r="A79" s="7" t="s">
        <v>43</v>
      </c>
      <c r="B79" s="8" t="s">
        <v>42</v>
      </c>
      <c r="C79" s="9">
        <v>42425</v>
      </c>
      <c r="D79" s="10">
        <v>2716.4279999999999</v>
      </c>
    </row>
    <row r="80" spans="1:4">
      <c r="A80" s="7" t="s">
        <v>349</v>
      </c>
      <c r="B80" s="8" t="s">
        <v>348</v>
      </c>
      <c r="C80" s="9">
        <v>42425</v>
      </c>
      <c r="D80" s="10">
        <v>1298.9259999999999</v>
      </c>
    </row>
    <row r="81" spans="1:4">
      <c r="A81" s="7" t="s">
        <v>29</v>
      </c>
      <c r="B81" s="8" t="s">
        <v>28</v>
      </c>
      <c r="C81" s="9">
        <v>42425</v>
      </c>
      <c r="D81" s="10">
        <v>2000</v>
      </c>
    </row>
    <row r="82" spans="1:4">
      <c r="A82" s="7" t="s">
        <v>381</v>
      </c>
      <c r="B82" s="8" t="s">
        <v>380</v>
      </c>
      <c r="C82" s="9">
        <v>42425</v>
      </c>
      <c r="D82" s="10">
        <v>1335.9480000000001</v>
      </c>
    </row>
    <row r="83" spans="1:4">
      <c r="A83" s="7" t="s">
        <v>307</v>
      </c>
      <c r="B83" s="8" t="s">
        <v>306</v>
      </c>
      <c r="C83" s="9">
        <v>42425</v>
      </c>
      <c r="D83" s="10">
        <v>2600.1529999999998</v>
      </c>
    </row>
    <row r="84" spans="1:4">
      <c r="A84" s="7" t="s">
        <v>780</v>
      </c>
      <c r="B84" s="8" t="s">
        <v>781</v>
      </c>
      <c r="C84" s="9">
        <v>42425</v>
      </c>
      <c r="D84" s="10">
        <v>5839.5569999999998</v>
      </c>
    </row>
    <row r="85" spans="1:4">
      <c r="A85" s="7" t="s">
        <v>275</v>
      </c>
      <c r="B85" s="8" t="s">
        <v>274</v>
      </c>
      <c r="C85" s="9">
        <v>42425</v>
      </c>
      <c r="D85" s="10">
        <v>1100</v>
      </c>
    </row>
    <row r="86" spans="1:4">
      <c r="A86" s="7" t="s">
        <v>251</v>
      </c>
      <c r="B86" s="8" t="s">
        <v>250</v>
      </c>
      <c r="C86" s="9">
        <v>42426</v>
      </c>
      <c r="D86" s="10">
        <v>1579.2909999999999</v>
      </c>
    </row>
    <row r="87" spans="1:4">
      <c r="A87" s="7" t="s">
        <v>339</v>
      </c>
      <c r="B87" s="8" t="s">
        <v>338</v>
      </c>
      <c r="C87" s="9">
        <v>42426</v>
      </c>
      <c r="D87" s="10">
        <v>1980.971</v>
      </c>
    </row>
    <row r="88" spans="1:4">
      <c r="A88" s="7" t="s">
        <v>17</v>
      </c>
      <c r="B88" s="8" t="s">
        <v>16</v>
      </c>
      <c r="C88" s="9">
        <v>42426</v>
      </c>
      <c r="D88" s="10">
        <v>1703.39</v>
      </c>
    </row>
    <row r="89" spans="1:4">
      <c r="A89" s="7" t="s">
        <v>249</v>
      </c>
      <c r="B89" s="8" t="s">
        <v>248</v>
      </c>
      <c r="C89" s="9">
        <v>42427</v>
      </c>
      <c r="D89" s="10">
        <v>2153.3510000000001</v>
      </c>
    </row>
    <row r="90" spans="1:4">
      <c r="A90" s="7" t="s">
        <v>197</v>
      </c>
      <c r="B90" s="8" t="s">
        <v>196</v>
      </c>
      <c r="C90" s="9">
        <v>42427</v>
      </c>
      <c r="D90" s="10">
        <v>428.05</v>
      </c>
    </row>
    <row r="91" spans="1:4">
      <c r="A91" s="7" t="s">
        <v>588</v>
      </c>
      <c r="B91" s="8" t="s">
        <v>589</v>
      </c>
      <c r="C91" s="9">
        <v>42427</v>
      </c>
      <c r="D91" s="10">
        <v>391.9</v>
      </c>
    </row>
    <row r="92" spans="1:4">
      <c r="A92" s="7" t="s">
        <v>782</v>
      </c>
      <c r="B92" s="8" t="s">
        <v>783</v>
      </c>
      <c r="C92" s="9">
        <v>42427</v>
      </c>
      <c r="D92" s="10">
        <v>85.549000000000007</v>
      </c>
    </row>
    <row r="93" spans="1:4">
      <c r="A93" s="7" t="s">
        <v>119</v>
      </c>
      <c r="B93" s="8" t="s">
        <v>118</v>
      </c>
      <c r="C93" s="9">
        <v>42427</v>
      </c>
      <c r="D93" s="10">
        <v>4000</v>
      </c>
    </row>
    <row r="94" spans="1:4">
      <c r="A94" s="7" t="s">
        <v>171</v>
      </c>
      <c r="B94" s="8" t="s">
        <v>170</v>
      </c>
      <c r="C94" s="9">
        <v>42427</v>
      </c>
      <c r="D94" s="10">
        <v>130</v>
      </c>
    </row>
    <row r="95" spans="1:4">
      <c r="A95" s="7" t="s">
        <v>157</v>
      </c>
      <c r="B95" s="8" t="s">
        <v>156</v>
      </c>
      <c r="C95" s="9">
        <v>42427</v>
      </c>
      <c r="D95" s="10">
        <v>950</v>
      </c>
    </row>
    <row r="96" spans="1:4">
      <c r="A96" s="7" t="s">
        <v>113</v>
      </c>
      <c r="B96" s="8" t="s">
        <v>112</v>
      </c>
      <c r="C96" s="9">
        <v>42428</v>
      </c>
      <c r="D96" s="10">
        <v>1000</v>
      </c>
    </row>
    <row r="97" spans="1:4">
      <c r="A97" s="7" t="s">
        <v>604</v>
      </c>
      <c r="B97" s="8" t="s">
        <v>605</v>
      </c>
      <c r="C97" s="9">
        <v>42428</v>
      </c>
      <c r="D97" s="10">
        <v>2275.0729999999999</v>
      </c>
    </row>
    <row r="98" spans="1:4">
      <c r="A98" s="7" t="s">
        <v>223</v>
      </c>
      <c r="B98" s="8" t="s">
        <v>222</v>
      </c>
      <c r="C98" s="9">
        <v>42428</v>
      </c>
      <c r="D98" s="10">
        <v>1122.665</v>
      </c>
    </row>
    <row r="99" spans="1:4">
      <c r="A99" s="7" t="s">
        <v>129</v>
      </c>
      <c r="B99" s="8" t="s">
        <v>128</v>
      </c>
      <c r="C99" s="9">
        <v>42428</v>
      </c>
      <c r="D99" s="10">
        <v>2267.328</v>
      </c>
    </row>
    <row r="100" spans="1:4">
      <c r="A100" s="7" t="s">
        <v>143</v>
      </c>
      <c r="B100" s="8" t="s">
        <v>142</v>
      </c>
      <c r="C100" s="9">
        <v>42428</v>
      </c>
      <c r="D100" s="10">
        <v>3468.3409999999999</v>
      </c>
    </row>
    <row r="101" spans="1:4">
      <c r="A101" s="7" t="s">
        <v>141</v>
      </c>
      <c r="B101" s="8" t="s">
        <v>140</v>
      </c>
      <c r="C101" s="9">
        <v>42428</v>
      </c>
      <c r="D101" s="10">
        <v>1254.114</v>
      </c>
    </row>
    <row r="102" spans="1:4">
      <c r="A102" s="7" t="s">
        <v>297</v>
      </c>
      <c r="B102" s="8" t="s">
        <v>296</v>
      </c>
      <c r="C102" s="9">
        <v>42428</v>
      </c>
      <c r="D102" s="10">
        <v>2169.5230000000001</v>
      </c>
    </row>
    <row r="103" spans="1:4">
      <c r="A103" s="7" t="s">
        <v>125</v>
      </c>
      <c r="B103" s="8" t="s">
        <v>124</v>
      </c>
      <c r="C103" s="9">
        <v>42428</v>
      </c>
      <c r="D103" s="10">
        <v>1860.722</v>
      </c>
    </row>
    <row r="104" spans="1:4">
      <c r="A104" s="7" t="s">
        <v>586</v>
      </c>
      <c r="B104" s="8" t="s">
        <v>587</v>
      </c>
      <c r="C104" s="9">
        <v>42428</v>
      </c>
      <c r="D104" s="10">
        <v>700</v>
      </c>
    </row>
    <row r="105" spans="1:4">
      <c r="A105" s="7" t="s">
        <v>133</v>
      </c>
      <c r="B105" s="8" t="s">
        <v>132</v>
      </c>
      <c r="C105" s="9">
        <v>42428</v>
      </c>
      <c r="D105" s="10">
        <v>548</v>
      </c>
    </row>
    <row r="106" spans="1:4">
      <c r="A106" s="7" t="s">
        <v>213</v>
      </c>
      <c r="B106" s="8" t="s">
        <v>212</v>
      </c>
      <c r="C106" s="9">
        <v>42428</v>
      </c>
      <c r="D106" s="10">
        <v>2726.6210000000001</v>
      </c>
    </row>
    <row r="107" spans="1:4">
      <c r="A107" s="7" t="s">
        <v>113</v>
      </c>
      <c r="B107" s="8" t="s">
        <v>112</v>
      </c>
      <c r="C107" s="9">
        <v>42428</v>
      </c>
      <c r="D107" s="10">
        <v>400</v>
      </c>
    </row>
    <row r="108" spans="1:4">
      <c r="A108" s="7" t="s">
        <v>207</v>
      </c>
      <c r="B108" s="8" t="s">
        <v>206</v>
      </c>
      <c r="C108" s="9">
        <v>42428</v>
      </c>
      <c r="D108" s="10">
        <v>2800</v>
      </c>
    </row>
    <row r="109" spans="1:4">
      <c r="A109" s="7" t="s">
        <v>217</v>
      </c>
      <c r="B109" s="8" t="s">
        <v>216</v>
      </c>
      <c r="C109" s="9">
        <v>42428</v>
      </c>
      <c r="D109" s="10">
        <v>1334.0419999999999</v>
      </c>
    </row>
    <row r="110" spans="1:4">
      <c r="A110" s="7" t="s">
        <v>329</v>
      </c>
      <c r="B110" s="8" t="s">
        <v>328</v>
      </c>
      <c r="C110" s="9">
        <v>42428</v>
      </c>
      <c r="D110" s="10">
        <v>1223.943</v>
      </c>
    </row>
    <row r="111" spans="1:4">
      <c r="A111" s="7" t="s">
        <v>411</v>
      </c>
      <c r="B111" s="8" t="s">
        <v>410</v>
      </c>
      <c r="C111" s="9">
        <v>42428</v>
      </c>
      <c r="D111" s="10">
        <v>2163.0210000000002</v>
      </c>
    </row>
    <row r="112" spans="1:4">
      <c r="A112" s="7" t="s">
        <v>219</v>
      </c>
      <c r="B112" s="8" t="s">
        <v>218</v>
      </c>
      <c r="C112" s="9">
        <v>42428</v>
      </c>
      <c r="D112" s="10">
        <v>494.637</v>
      </c>
    </row>
    <row r="113" spans="1:4">
      <c r="A113" s="7" t="s">
        <v>361</v>
      </c>
      <c r="B113" s="8" t="s">
        <v>360</v>
      </c>
      <c r="C113" s="9">
        <v>42428</v>
      </c>
      <c r="D113" s="10">
        <v>4910.7939999999999</v>
      </c>
    </row>
    <row r="114" spans="1:4">
      <c r="A114" s="7" t="s">
        <v>137</v>
      </c>
      <c r="B114" s="8" t="s">
        <v>136</v>
      </c>
      <c r="C114" s="9">
        <v>42428</v>
      </c>
      <c r="D114" s="10">
        <v>298.12599999999998</v>
      </c>
    </row>
    <row r="115" spans="1:4">
      <c r="A115" s="7" t="s">
        <v>409</v>
      </c>
      <c r="B115" s="8" t="s">
        <v>408</v>
      </c>
      <c r="C115" s="9">
        <v>42428</v>
      </c>
      <c r="D115" s="10">
        <v>901.19399999999996</v>
      </c>
    </row>
    <row r="116" spans="1:4">
      <c r="A116" s="7" t="s">
        <v>115</v>
      </c>
      <c r="B116" s="8" t="s">
        <v>114</v>
      </c>
      <c r="C116" s="9">
        <v>42428</v>
      </c>
      <c r="D116" s="10">
        <v>2500</v>
      </c>
    </row>
    <row r="117" spans="1:4">
      <c r="A117" s="7" t="s">
        <v>209</v>
      </c>
      <c r="B117" s="8" t="s">
        <v>208</v>
      </c>
      <c r="C117" s="9">
        <v>42428</v>
      </c>
      <c r="D117" s="10">
        <v>1403.777</v>
      </c>
    </row>
    <row r="118" spans="1:4">
      <c r="A118" s="7" t="s">
        <v>111</v>
      </c>
      <c r="B118" s="8" t="s">
        <v>110</v>
      </c>
      <c r="C118" s="9">
        <v>42428</v>
      </c>
      <c r="D118" s="10">
        <v>1247.2829999999999</v>
      </c>
    </row>
    <row r="119" spans="1:4">
      <c r="A119" s="7" t="s">
        <v>301</v>
      </c>
      <c r="B119" s="8" t="s">
        <v>300</v>
      </c>
      <c r="C119" s="9">
        <v>42428</v>
      </c>
      <c r="D119" s="10">
        <v>1714.51</v>
      </c>
    </row>
    <row r="120" spans="1:4">
      <c r="A120" s="7" t="s">
        <v>237</v>
      </c>
      <c r="B120" s="8" t="s">
        <v>236</v>
      </c>
      <c r="C120" s="9">
        <v>42428</v>
      </c>
      <c r="D120" s="10">
        <v>997.11599999999999</v>
      </c>
    </row>
    <row r="121" spans="1:4">
      <c r="A121" s="7" t="s">
        <v>638</v>
      </c>
      <c r="B121" s="8" t="s">
        <v>639</v>
      </c>
      <c r="C121" s="9">
        <v>42428</v>
      </c>
      <c r="D121" s="10">
        <v>1440.6489999999999</v>
      </c>
    </row>
    <row r="122" spans="1:4">
      <c r="A122" s="7" t="s">
        <v>634</v>
      </c>
      <c r="B122" s="8" t="s">
        <v>635</v>
      </c>
      <c r="C122" s="9">
        <v>42428</v>
      </c>
      <c r="D122" s="10">
        <v>2063.8000000000002</v>
      </c>
    </row>
    <row r="123" spans="1:4">
      <c r="A123" s="7" t="s">
        <v>183</v>
      </c>
      <c r="B123" s="8" t="s">
        <v>182</v>
      </c>
      <c r="C123" s="9">
        <v>42428</v>
      </c>
      <c r="D123" s="10">
        <v>891.58399999999995</v>
      </c>
    </row>
    <row r="124" spans="1:4">
      <c r="A124" s="7" t="s">
        <v>233</v>
      </c>
      <c r="B124" s="8" t="s">
        <v>232</v>
      </c>
      <c r="C124" s="9">
        <v>42428</v>
      </c>
      <c r="D124" s="10">
        <v>723.86900000000003</v>
      </c>
    </row>
    <row r="125" spans="1:4">
      <c r="A125" s="7" t="s">
        <v>121</v>
      </c>
      <c r="B125" s="8" t="s">
        <v>120</v>
      </c>
      <c r="C125" s="9">
        <v>42428</v>
      </c>
      <c r="D125" s="10">
        <v>1700</v>
      </c>
    </row>
    <row r="126" spans="1:4">
      <c r="A126" s="7" t="s">
        <v>189</v>
      </c>
      <c r="B126" s="8" t="s">
        <v>188</v>
      </c>
      <c r="C126" s="9">
        <v>42428</v>
      </c>
      <c r="D126" s="10">
        <v>1723.9749999999999</v>
      </c>
    </row>
    <row r="127" spans="1:4">
      <c r="A127" s="7" t="s">
        <v>87</v>
      </c>
      <c r="B127" s="8" t="s">
        <v>86</v>
      </c>
      <c r="C127" s="9">
        <v>42428</v>
      </c>
      <c r="D127" s="10">
        <v>2681.8560000000002</v>
      </c>
    </row>
    <row r="128" spans="1:4">
      <c r="A128" s="7" t="s">
        <v>191</v>
      </c>
      <c r="B128" s="8" t="s">
        <v>190</v>
      </c>
      <c r="C128" s="9">
        <v>42428</v>
      </c>
      <c r="D128" s="10">
        <v>1666.133</v>
      </c>
    </row>
    <row r="129" spans="1:4">
      <c r="A129" s="7" t="s">
        <v>229</v>
      </c>
      <c r="B129" s="8" t="s">
        <v>228</v>
      </c>
      <c r="C129" s="9">
        <v>42428</v>
      </c>
      <c r="D129" s="10">
        <v>322.387</v>
      </c>
    </row>
    <row r="130" spans="1:4">
      <c r="A130" s="7" t="s">
        <v>357</v>
      </c>
      <c r="B130" s="8" t="s">
        <v>356</v>
      </c>
      <c r="C130" s="9">
        <v>42428</v>
      </c>
      <c r="D130" s="10">
        <v>786.51900000000001</v>
      </c>
    </row>
    <row r="131" spans="1:4">
      <c r="A131" s="7" t="s">
        <v>109</v>
      </c>
      <c r="B131" s="8" t="s">
        <v>108</v>
      </c>
      <c r="C131" s="9">
        <v>42428</v>
      </c>
      <c r="D131" s="10">
        <v>1033.0719999999999</v>
      </c>
    </row>
    <row r="132" spans="1:4">
      <c r="A132" s="7" t="s">
        <v>662</v>
      </c>
      <c r="B132" s="8" t="s">
        <v>663</v>
      </c>
      <c r="C132" s="9">
        <v>42428</v>
      </c>
      <c r="D132" s="10">
        <v>1109</v>
      </c>
    </row>
    <row r="133" spans="1:4">
      <c r="A133" s="7" t="s">
        <v>231</v>
      </c>
      <c r="B133" s="8" t="s">
        <v>230</v>
      </c>
      <c r="C133" s="9">
        <v>42428</v>
      </c>
      <c r="D133" s="10">
        <v>1159.2449999999999</v>
      </c>
    </row>
    <row r="134" spans="1:4">
      <c r="A134" s="7" t="s">
        <v>403</v>
      </c>
      <c r="B134" s="8" t="s">
        <v>402</v>
      </c>
      <c r="C134" s="9">
        <v>42428</v>
      </c>
      <c r="D134" s="10">
        <v>3757.7269999999999</v>
      </c>
    </row>
    <row r="135" spans="1:4">
      <c r="A135" s="7" t="s">
        <v>187</v>
      </c>
      <c r="B135" s="8" t="s">
        <v>186</v>
      </c>
      <c r="C135" s="9">
        <v>42428</v>
      </c>
      <c r="D135" s="10">
        <v>1032.242</v>
      </c>
    </row>
    <row r="136" spans="1:4">
      <c r="A136" s="7" t="s">
        <v>195</v>
      </c>
      <c r="B136" s="8" t="s">
        <v>194</v>
      </c>
      <c r="C136" s="9">
        <v>42428</v>
      </c>
      <c r="D136" s="10">
        <v>121.792</v>
      </c>
    </row>
    <row r="137" spans="1:4">
      <c r="A137" s="7" t="s">
        <v>727</v>
      </c>
      <c r="B137" s="8" t="s">
        <v>728</v>
      </c>
      <c r="C137" s="9">
        <v>42428</v>
      </c>
      <c r="D137" s="10">
        <v>262.00400000000002</v>
      </c>
    </row>
    <row r="138" spans="1:4">
      <c r="A138" s="7" t="s">
        <v>101</v>
      </c>
      <c r="B138" s="8" t="s">
        <v>100</v>
      </c>
      <c r="C138" s="9">
        <v>42428</v>
      </c>
      <c r="D138" s="10">
        <v>383.02600000000001</v>
      </c>
    </row>
    <row r="139" spans="1:4">
      <c r="A139" s="7" t="s">
        <v>107</v>
      </c>
      <c r="B139" s="8" t="s">
        <v>106</v>
      </c>
      <c r="C139" s="9">
        <v>42428</v>
      </c>
      <c r="D139" s="10">
        <v>1356.5730000000001</v>
      </c>
    </row>
    <row r="140" spans="1:4">
      <c r="A140" s="7" t="s">
        <v>219</v>
      </c>
      <c r="B140" s="8" t="s">
        <v>218</v>
      </c>
      <c r="C140" s="9">
        <v>42428</v>
      </c>
      <c r="D140" s="10">
        <v>265.50400000000002</v>
      </c>
    </row>
    <row r="141" spans="1:4">
      <c r="A141" s="7" t="s">
        <v>193</v>
      </c>
      <c r="B141" s="8" t="s">
        <v>192</v>
      </c>
      <c r="C141" s="9">
        <v>42428</v>
      </c>
      <c r="D141" s="10">
        <v>496.91300000000001</v>
      </c>
    </row>
    <row r="142" spans="1:4">
      <c r="A142" s="7" t="s">
        <v>93</v>
      </c>
      <c r="B142" s="8" t="s">
        <v>92</v>
      </c>
      <c r="C142" s="9">
        <v>42428</v>
      </c>
      <c r="D142" s="10">
        <v>700</v>
      </c>
    </row>
    <row r="143" spans="1:4">
      <c r="A143" s="7" t="s">
        <v>636</v>
      </c>
      <c r="B143" s="8" t="s">
        <v>637</v>
      </c>
      <c r="C143" s="9">
        <v>42428</v>
      </c>
      <c r="D143" s="10">
        <v>1614.15</v>
      </c>
    </row>
    <row r="144" spans="1:4">
      <c r="A144" s="7" t="s">
        <v>211</v>
      </c>
      <c r="B144" s="8" t="s">
        <v>210</v>
      </c>
      <c r="C144" s="9">
        <v>42428</v>
      </c>
      <c r="D144" s="10">
        <v>262.714</v>
      </c>
    </row>
    <row r="145" spans="1:4">
      <c r="A145" s="7" t="s">
        <v>596</v>
      </c>
      <c r="B145" s="8" t="s">
        <v>597</v>
      </c>
      <c r="C145" s="9">
        <v>42428</v>
      </c>
      <c r="D145" s="10">
        <v>2132.6379999999999</v>
      </c>
    </row>
    <row r="146" spans="1:4">
      <c r="A146" s="7" t="s">
        <v>85</v>
      </c>
      <c r="B146" s="8" t="s">
        <v>84</v>
      </c>
      <c r="C146" s="9">
        <v>42428</v>
      </c>
      <c r="D146" s="10">
        <v>784.09900000000005</v>
      </c>
    </row>
    <row r="147" spans="1:4">
      <c r="A147" s="7" t="s">
        <v>397</v>
      </c>
      <c r="B147" s="8" t="s">
        <v>396</v>
      </c>
      <c r="C147" s="9">
        <v>42428</v>
      </c>
      <c r="D147" s="10">
        <v>3110.9810000000002</v>
      </c>
    </row>
    <row r="148" spans="1:4">
      <c r="A148" s="7" t="s">
        <v>79</v>
      </c>
      <c r="B148" s="8" t="s">
        <v>78</v>
      </c>
      <c r="C148" s="9">
        <v>42428</v>
      </c>
      <c r="D148" s="10">
        <v>4380.7950000000001</v>
      </c>
    </row>
    <row r="149" spans="1:4">
      <c r="A149" s="7" t="s">
        <v>175</v>
      </c>
      <c r="B149" s="8" t="s">
        <v>174</v>
      </c>
      <c r="C149" s="9">
        <v>42428</v>
      </c>
      <c r="D149" s="10">
        <v>3108.4430000000002</v>
      </c>
    </row>
    <row r="150" spans="1:4">
      <c r="A150" s="7" t="s">
        <v>81</v>
      </c>
      <c r="B150" s="8" t="s">
        <v>80</v>
      </c>
      <c r="C150" s="9">
        <v>42428</v>
      </c>
      <c r="D150" s="10">
        <v>1782.778</v>
      </c>
    </row>
    <row r="151" spans="1:4">
      <c r="A151" s="7" t="s">
        <v>399</v>
      </c>
      <c r="B151" s="8" t="s">
        <v>398</v>
      </c>
      <c r="C151" s="9">
        <v>42428</v>
      </c>
      <c r="D151" s="10">
        <v>547.33399999999995</v>
      </c>
    </row>
    <row r="152" spans="1:4">
      <c r="A152" s="7" t="s">
        <v>75</v>
      </c>
      <c r="B152" s="8" t="s">
        <v>74</v>
      </c>
      <c r="C152" s="9">
        <v>42428</v>
      </c>
      <c r="D152" s="10">
        <v>2063.33</v>
      </c>
    </row>
    <row r="153" spans="1:4">
      <c r="A153" s="7" t="s">
        <v>299</v>
      </c>
      <c r="B153" s="8" t="s">
        <v>298</v>
      </c>
      <c r="C153" s="9">
        <v>42428</v>
      </c>
      <c r="D153" s="10">
        <v>478.57100000000003</v>
      </c>
    </row>
    <row r="154" spans="1:4">
      <c r="A154" s="7" t="s">
        <v>319</v>
      </c>
      <c r="B154" s="8" t="s">
        <v>318</v>
      </c>
      <c r="C154" s="9">
        <v>42428</v>
      </c>
      <c r="D154" s="10">
        <v>402.15499999999997</v>
      </c>
    </row>
    <row r="155" spans="1:4">
      <c r="A155" s="7" t="s">
        <v>592</v>
      </c>
      <c r="B155" s="8" t="s">
        <v>593</v>
      </c>
      <c r="C155" s="9">
        <v>42428</v>
      </c>
      <c r="D155" s="10">
        <v>371.55200000000002</v>
      </c>
    </row>
    <row r="156" spans="1:4">
      <c r="A156" s="7" t="s">
        <v>576</v>
      </c>
      <c r="B156" s="8" t="s">
        <v>577</v>
      </c>
      <c r="C156" s="9">
        <v>42428</v>
      </c>
      <c r="D156" s="10">
        <v>500.13</v>
      </c>
    </row>
    <row r="157" spans="1:4">
      <c r="A157" s="7" t="s">
        <v>345</v>
      </c>
      <c r="B157" s="8" t="s">
        <v>344</v>
      </c>
      <c r="C157" s="9">
        <v>42428</v>
      </c>
      <c r="D157" s="10">
        <v>480.4</v>
      </c>
    </row>
    <row r="158" spans="1:4">
      <c r="A158" s="7" t="s">
        <v>169</v>
      </c>
      <c r="B158" s="8" t="s">
        <v>168</v>
      </c>
      <c r="C158" s="9">
        <v>42428</v>
      </c>
      <c r="D158" s="10">
        <v>2675.8789999999999</v>
      </c>
    </row>
    <row r="159" spans="1:4">
      <c r="A159" s="7" t="s">
        <v>61</v>
      </c>
      <c r="B159" s="8" t="s">
        <v>60</v>
      </c>
      <c r="C159" s="9">
        <v>42428</v>
      </c>
      <c r="D159" s="10">
        <v>3646.9540000000002</v>
      </c>
    </row>
    <row r="160" spans="1:4">
      <c r="A160" s="7" t="s">
        <v>171</v>
      </c>
      <c r="B160" s="8" t="s">
        <v>170</v>
      </c>
      <c r="C160" s="9">
        <v>42428</v>
      </c>
      <c r="D160" s="10">
        <v>391.08</v>
      </c>
    </row>
    <row r="161" spans="1:4">
      <c r="A161" s="7" t="s">
        <v>71</v>
      </c>
      <c r="B161" s="8" t="s">
        <v>70</v>
      </c>
      <c r="C161" s="9">
        <v>42428</v>
      </c>
      <c r="D161" s="10">
        <v>1375.847</v>
      </c>
    </row>
    <row r="162" spans="1:4">
      <c r="A162" s="7" t="s">
        <v>395</v>
      </c>
      <c r="B162" s="8" t="s">
        <v>394</v>
      </c>
      <c r="C162" s="9">
        <v>42428</v>
      </c>
      <c r="D162" s="10">
        <v>2337.7620000000002</v>
      </c>
    </row>
    <row r="163" spans="1:4">
      <c r="A163" s="7" t="s">
        <v>59</v>
      </c>
      <c r="B163" s="8" t="s">
        <v>58</v>
      </c>
      <c r="C163" s="9">
        <v>42428</v>
      </c>
      <c r="D163" s="10">
        <v>2257.9699999999998</v>
      </c>
    </row>
    <row r="164" spans="1:4">
      <c r="A164" s="7" t="s">
        <v>55</v>
      </c>
      <c r="B164" s="8" t="s">
        <v>54</v>
      </c>
      <c r="C164" s="9">
        <v>42428</v>
      </c>
      <c r="D164" s="10">
        <v>3783.2379999999998</v>
      </c>
    </row>
    <row r="165" spans="1:4">
      <c r="A165" s="7" t="s">
        <v>35</v>
      </c>
      <c r="B165" s="8" t="s">
        <v>34</v>
      </c>
      <c r="C165" s="9">
        <v>42428</v>
      </c>
      <c r="D165" s="10">
        <v>1392.5229999999999</v>
      </c>
    </row>
    <row r="166" spans="1:4">
      <c r="A166" s="7" t="s">
        <v>47</v>
      </c>
      <c r="B166" s="8" t="s">
        <v>46</v>
      </c>
      <c r="C166" s="9">
        <v>42428</v>
      </c>
      <c r="D166" s="10">
        <v>1000</v>
      </c>
    </row>
    <row r="167" spans="1:4">
      <c r="A167" s="7" t="s">
        <v>391</v>
      </c>
      <c r="B167" s="8" t="s">
        <v>390</v>
      </c>
      <c r="C167" s="9">
        <v>42428</v>
      </c>
      <c r="D167" s="10">
        <v>2874.0459999999998</v>
      </c>
    </row>
    <row r="168" spans="1:4">
      <c r="A168" s="7" t="s">
        <v>387</v>
      </c>
      <c r="B168" s="8" t="s">
        <v>386</v>
      </c>
      <c r="C168" s="9">
        <v>42428</v>
      </c>
      <c r="D168" s="10">
        <v>5896.3670000000002</v>
      </c>
    </row>
    <row r="169" spans="1:4">
      <c r="A169" s="7" t="s">
        <v>389</v>
      </c>
      <c r="B169" s="8" t="s">
        <v>388</v>
      </c>
      <c r="C169" s="9">
        <v>42428</v>
      </c>
      <c r="D169" s="10">
        <v>2016.8219999999999</v>
      </c>
    </row>
    <row r="170" spans="1:4">
      <c r="A170" s="7" t="s">
        <v>49</v>
      </c>
      <c r="B170" s="8" t="s">
        <v>48</v>
      </c>
      <c r="C170" s="9">
        <v>42428</v>
      </c>
      <c r="D170" s="10">
        <v>791.87199999999996</v>
      </c>
    </row>
    <row r="171" spans="1:4">
      <c r="A171" s="7" t="s">
        <v>283</v>
      </c>
      <c r="B171" s="8" t="s">
        <v>282</v>
      </c>
      <c r="C171" s="9">
        <v>42428</v>
      </c>
      <c r="D171" s="10">
        <v>2000</v>
      </c>
    </row>
    <row r="172" spans="1:4">
      <c r="A172" s="7" t="s">
        <v>51</v>
      </c>
      <c r="B172" s="8" t="s">
        <v>50</v>
      </c>
      <c r="C172" s="9">
        <v>42428</v>
      </c>
      <c r="D172" s="10">
        <v>2387.8429999999998</v>
      </c>
    </row>
    <row r="173" spans="1:4">
      <c r="A173" s="7" t="s">
        <v>385</v>
      </c>
      <c r="B173" s="8" t="s">
        <v>384</v>
      </c>
      <c r="C173" s="9">
        <v>42428</v>
      </c>
      <c r="D173" s="10">
        <v>201.149</v>
      </c>
    </row>
    <row r="174" spans="1:4">
      <c r="A174" s="7" t="s">
        <v>41</v>
      </c>
      <c r="B174" s="8" t="s">
        <v>40</v>
      </c>
      <c r="C174" s="9">
        <v>42428</v>
      </c>
      <c r="D174" s="10">
        <v>135.792</v>
      </c>
    </row>
    <row r="175" spans="1:4">
      <c r="A175" s="7" t="s">
        <v>37</v>
      </c>
      <c r="B175" s="8" t="s">
        <v>36</v>
      </c>
      <c r="C175" s="9">
        <v>42428</v>
      </c>
      <c r="D175" s="10">
        <v>1359.7639999999999</v>
      </c>
    </row>
    <row r="176" spans="1:4">
      <c r="A176" s="7" t="s">
        <v>39</v>
      </c>
      <c r="B176" s="8" t="s">
        <v>38</v>
      </c>
      <c r="C176" s="9">
        <v>42428</v>
      </c>
      <c r="D176" s="10">
        <v>983.84100000000001</v>
      </c>
    </row>
    <row r="177" spans="1:4">
      <c r="A177" s="7" t="s">
        <v>165</v>
      </c>
      <c r="B177" s="8" t="s">
        <v>164</v>
      </c>
      <c r="C177" s="9">
        <v>42428</v>
      </c>
      <c r="D177" s="10">
        <v>1093.251</v>
      </c>
    </row>
    <row r="178" spans="1:4">
      <c r="A178" s="7" t="s">
        <v>670</v>
      </c>
      <c r="B178" s="8" t="s">
        <v>671</v>
      </c>
      <c r="C178" s="9">
        <v>42428</v>
      </c>
      <c r="D178" s="10">
        <v>569.96799999999996</v>
      </c>
    </row>
    <row r="179" spans="1:4">
      <c r="A179" s="7" t="s">
        <v>29</v>
      </c>
      <c r="B179" s="8" t="s">
        <v>28</v>
      </c>
      <c r="C179" s="9">
        <v>42428</v>
      </c>
      <c r="D179" s="10">
        <v>1667.577</v>
      </c>
    </row>
    <row r="180" spans="1:4">
      <c r="A180" s="7" t="s">
        <v>25</v>
      </c>
      <c r="B180" s="8" t="s">
        <v>24</v>
      </c>
      <c r="C180" s="9">
        <v>42428</v>
      </c>
      <c r="D180" s="10">
        <v>657.07</v>
      </c>
    </row>
    <row r="181" spans="1:4">
      <c r="A181" s="7" t="s">
        <v>309</v>
      </c>
      <c r="B181" s="8" t="s">
        <v>308</v>
      </c>
      <c r="C181" s="9">
        <v>42428</v>
      </c>
      <c r="D181" s="10">
        <v>5172.348</v>
      </c>
    </row>
    <row r="182" spans="1:4">
      <c r="A182" s="7" t="s">
        <v>27</v>
      </c>
      <c r="B182" s="8" t="s">
        <v>26</v>
      </c>
      <c r="C182" s="9">
        <v>42428</v>
      </c>
      <c r="D182" s="10">
        <v>812.39800000000002</v>
      </c>
    </row>
    <row r="183" spans="1:4">
      <c r="A183" s="7" t="s">
        <v>21</v>
      </c>
      <c r="B183" s="8" t="s">
        <v>20</v>
      </c>
      <c r="C183" s="9">
        <v>42428</v>
      </c>
      <c r="D183" s="10">
        <v>2584.16</v>
      </c>
    </row>
    <row r="184" spans="1:4">
      <c r="A184" s="7" t="s">
        <v>239</v>
      </c>
      <c r="B184" s="8" t="s">
        <v>238</v>
      </c>
      <c r="C184" s="9">
        <v>42428</v>
      </c>
      <c r="D184" s="10">
        <v>1255.796</v>
      </c>
    </row>
    <row r="185" spans="1:4">
      <c r="A185" s="7" t="s">
        <v>161</v>
      </c>
      <c r="B185" s="8" t="s">
        <v>160</v>
      </c>
      <c r="C185" s="9">
        <v>42428</v>
      </c>
      <c r="D185" s="10">
        <v>11521.865</v>
      </c>
    </row>
    <row r="186" spans="1:4">
      <c r="A186" s="7" t="s">
        <v>159</v>
      </c>
      <c r="B186" s="8" t="s">
        <v>158</v>
      </c>
      <c r="C186" s="9">
        <v>42428</v>
      </c>
      <c r="D186" s="10">
        <v>3645.6030000000001</v>
      </c>
    </row>
    <row r="187" spans="1:4">
      <c r="A187" s="7" t="s">
        <v>19</v>
      </c>
      <c r="B187" s="8" t="s">
        <v>18</v>
      </c>
      <c r="C187" s="9">
        <v>42428</v>
      </c>
      <c r="D187" s="10">
        <v>4516.0169999999998</v>
      </c>
    </row>
    <row r="188" spans="1:4">
      <c r="A188" s="7" t="s">
        <v>155</v>
      </c>
      <c r="B188" s="8" t="s">
        <v>154</v>
      </c>
      <c r="C188" s="9">
        <v>42428</v>
      </c>
      <c r="D188" s="10">
        <v>2864.1219999999998</v>
      </c>
    </row>
    <row r="189" spans="1:4">
      <c r="A189" s="7" t="s">
        <v>153</v>
      </c>
      <c r="B189" s="8" t="s">
        <v>152</v>
      </c>
      <c r="C189" s="9">
        <v>42428</v>
      </c>
      <c r="D189" s="10">
        <v>1797.395</v>
      </c>
    </row>
    <row r="190" spans="1:4">
      <c r="A190" s="7" t="s">
        <v>151</v>
      </c>
      <c r="B190" s="8" t="s">
        <v>150</v>
      </c>
      <c r="C190" s="9">
        <v>42428</v>
      </c>
      <c r="D190" s="10">
        <v>814.80899999999997</v>
      </c>
    </row>
    <row r="191" spans="1:4">
      <c r="A191" s="7" t="s">
        <v>377</v>
      </c>
      <c r="B191" s="8" t="s">
        <v>376</v>
      </c>
      <c r="C191" s="9">
        <v>42428</v>
      </c>
      <c r="D191" s="10">
        <v>3084.19</v>
      </c>
    </row>
    <row r="192" spans="1:4">
      <c r="A192" s="7" t="s">
        <v>149</v>
      </c>
      <c r="B192" s="8" t="s">
        <v>148</v>
      </c>
      <c r="C192" s="9">
        <v>42428</v>
      </c>
      <c r="D192" s="10">
        <v>937.59</v>
      </c>
    </row>
    <row r="193" spans="1:4">
      <c r="A193" s="7" t="s">
        <v>147</v>
      </c>
      <c r="B193" s="8" t="s">
        <v>146</v>
      </c>
      <c r="C193" s="9">
        <v>42428</v>
      </c>
      <c r="D193" s="10">
        <v>1529.675</v>
      </c>
    </row>
    <row r="194" spans="1:4">
      <c r="A194" s="7" t="s">
        <v>584</v>
      </c>
      <c r="B194" s="8" t="s">
        <v>585</v>
      </c>
      <c r="C194" s="9">
        <v>42428</v>
      </c>
      <c r="D194" s="10">
        <v>1348.933</v>
      </c>
    </row>
    <row r="195" spans="1:4">
      <c r="A195" s="7" t="s">
        <v>281</v>
      </c>
      <c r="B195" s="8" t="s">
        <v>280</v>
      </c>
      <c r="C195" s="9">
        <v>42428</v>
      </c>
      <c r="D195" s="10">
        <v>400</v>
      </c>
    </row>
    <row r="196" spans="1:4">
      <c r="A196" s="7" t="s">
        <v>602</v>
      </c>
      <c r="B196" s="8" t="s">
        <v>603</v>
      </c>
      <c r="C196" s="9">
        <v>42428</v>
      </c>
      <c r="D196" s="10">
        <v>1290</v>
      </c>
    </row>
    <row r="197" spans="1:4">
      <c r="A197" s="7" t="s">
        <v>125</v>
      </c>
      <c r="B197" s="8" t="s">
        <v>124</v>
      </c>
      <c r="C197" s="9">
        <v>42428</v>
      </c>
      <c r="D197" s="10">
        <v>859.84699999999998</v>
      </c>
    </row>
    <row r="198" spans="1:4">
      <c r="A198" s="7" t="s">
        <v>125</v>
      </c>
      <c r="B198" s="8" t="s">
        <v>124</v>
      </c>
      <c r="C198" s="9">
        <v>42428</v>
      </c>
      <c r="D198" s="10">
        <v>613.02599999999995</v>
      </c>
    </row>
    <row r="199" spans="1:4">
      <c r="A199" s="7" t="s">
        <v>784</v>
      </c>
      <c r="B199" s="8" t="s">
        <v>785</v>
      </c>
      <c r="C199" s="9">
        <v>42428</v>
      </c>
      <c r="D199" s="10">
        <v>1040.4349999999999</v>
      </c>
    </row>
    <row r="200" spans="1:4">
      <c r="A200" s="7" t="s">
        <v>265</v>
      </c>
      <c r="B200" s="8" t="s">
        <v>264</v>
      </c>
      <c r="C200" s="9">
        <v>42428</v>
      </c>
      <c r="D200" s="10">
        <v>850.21600000000001</v>
      </c>
    </row>
    <row r="201" spans="1:4">
      <c r="A201" s="7" t="s">
        <v>632</v>
      </c>
      <c r="B201" s="8" t="s">
        <v>633</v>
      </c>
      <c r="C201" s="9">
        <v>42428</v>
      </c>
      <c r="D201" s="10">
        <v>1612.6030000000001</v>
      </c>
    </row>
    <row r="202" spans="1:4">
      <c r="A202" s="7" t="s">
        <v>786</v>
      </c>
      <c r="B202" s="8" t="s">
        <v>787</v>
      </c>
      <c r="C202" s="9">
        <v>42428</v>
      </c>
      <c r="D202" s="10">
        <v>1039.0820000000001</v>
      </c>
    </row>
    <row r="203" spans="1:4">
      <c r="A203" s="7" t="s">
        <v>181</v>
      </c>
      <c r="B203" s="8" t="s">
        <v>180</v>
      </c>
      <c r="C203" s="9">
        <v>42428</v>
      </c>
      <c r="D203" s="10">
        <v>1464.5260000000001</v>
      </c>
    </row>
    <row r="204" spans="1:4">
      <c r="A204" s="7" t="s">
        <v>323</v>
      </c>
      <c r="B204" s="8" t="s">
        <v>322</v>
      </c>
      <c r="C204" s="9">
        <v>42428</v>
      </c>
      <c r="D204" s="10">
        <v>3000</v>
      </c>
    </row>
    <row r="205" spans="1:4">
      <c r="A205" s="7" t="s">
        <v>819</v>
      </c>
      <c r="B205" s="8" t="s">
        <v>820</v>
      </c>
      <c r="C205" s="9">
        <v>42428</v>
      </c>
      <c r="D205" s="10">
        <v>466.64699999999999</v>
      </c>
    </row>
    <row r="206" spans="1:4">
      <c r="A206" s="7" t="s">
        <v>821</v>
      </c>
      <c r="B206" s="8" t="s">
        <v>822</v>
      </c>
      <c r="C206" s="9">
        <v>42428</v>
      </c>
      <c r="D206" s="10">
        <v>1292.1759999999999</v>
      </c>
    </row>
    <row r="207" spans="1:4">
      <c r="A207" s="7" t="s">
        <v>823</v>
      </c>
      <c r="B207" s="8" t="s">
        <v>824</v>
      </c>
      <c r="C207" s="9">
        <v>42428</v>
      </c>
      <c r="D207" s="10">
        <v>692.38199999999995</v>
      </c>
    </row>
    <row r="208" spans="1:4">
      <c r="A208" s="7" t="s">
        <v>788</v>
      </c>
      <c r="B208" s="8" t="s">
        <v>789</v>
      </c>
      <c r="C208" s="9">
        <v>42428</v>
      </c>
      <c r="D208" s="10">
        <v>974.20100000000002</v>
      </c>
    </row>
    <row r="209" spans="1:4">
      <c r="A209" s="7" t="s">
        <v>171</v>
      </c>
      <c r="B209" s="8" t="s">
        <v>170</v>
      </c>
      <c r="C209" s="9">
        <v>42428</v>
      </c>
      <c r="D209" s="10">
        <v>50</v>
      </c>
    </row>
    <row r="210" spans="1:4">
      <c r="A210" s="7" t="s">
        <v>574</v>
      </c>
      <c r="B210" s="8" t="s">
        <v>575</v>
      </c>
      <c r="C210" s="9">
        <v>42428</v>
      </c>
      <c r="D210" s="10">
        <v>472.68900000000002</v>
      </c>
    </row>
    <row r="211" spans="1:4">
      <c r="A211" s="7" t="s">
        <v>825</v>
      </c>
      <c r="B211" s="8" t="s">
        <v>826</v>
      </c>
      <c r="C211" s="9">
        <v>42428</v>
      </c>
      <c r="D211" s="10">
        <v>5168.51</v>
      </c>
    </row>
    <row r="212" spans="1:4">
      <c r="A212" s="7" t="s">
        <v>590</v>
      </c>
      <c r="B212" s="8" t="s">
        <v>591</v>
      </c>
      <c r="C212" s="9">
        <v>42428</v>
      </c>
      <c r="D212" s="10">
        <v>1519.18</v>
      </c>
    </row>
    <row r="213" spans="1:4">
      <c r="A213" s="7" t="s">
        <v>778</v>
      </c>
      <c r="B213" s="8" t="s">
        <v>779</v>
      </c>
      <c r="C213" s="9">
        <v>42428</v>
      </c>
      <c r="D213" s="10">
        <v>115</v>
      </c>
    </row>
    <row r="214" spans="1:4">
      <c r="A214" s="7" t="s">
        <v>39</v>
      </c>
      <c r="B214" s="8" t="s">
        <v>38</v>
      </c>
      <c r="C214" s="9">
        <v>42428</v>
      </c>
      <c r="D214" s="10">
        <v>346.77699999999999</v>
      </c>
    </row>
    <row r="215" spans="1:4">
      <c r="A215" s="7" t="s">
        <v>337</v>
      </c>
      <c r="B215" s="8" t="s">
        <v>336</v>
      </c>
      <c r="C215" s="9">
        <v>42428</v>
      </c>
      <c r="D215" s="10">
        <v>120</v>
      </c>
    </row>
    <row r="216" spans="1:4">
      <c r="A216" s="7" t="s">
        <v>739</v>
      </c>
      <c r="B216" s="8" t="s">
        <v>740</v>
      </c>
      <c r="C216" s="9">
        <v>42428</v>
      </c>
      <c r="D216" s="10">
        <v>500</v>
      </c>
    </row>
    <row r="217" spans="1:4">
      <c r="A217" s="7" t="s">
        <v>337</v>
      </c>
      <c r="B217" s="8" t="s">
        <v>336</v>
      </c>
      <c r="C217" s="9">
        <v>42428</v>
      </c>
      <c r="D217" s="10">
        <v>195</v>
      </c>
    </row>
    <row r="218" spans="1:4">
      <c r="A218" s="7" t="s">
        <v>719</v>
      </c>
      <c r="B218" s="8" t="s">
        <v>720</v>
      </c>
      <c r="C218" s="9">
        <v>42428</v>
      </c>
      <c r="D218" s="10">
        <v>730.83199999999999</v>
      </c>
    </row>
    <row r="219" spans="1:4">
      <c r="A219" s="7" t="s">
        <v>353</v>
      </c>
      <c r="B219" s="8" t="s">
        <v>352</v>
      </c>
      <c r="C219" s="9">
        <v>42428</v>
      </c>
      <c r="D219" s="10">
        <v>2917.4969999999998</v>
      </c>
    </row>
    <row r="220" spans="1:4">
      <c r="A220" s="7" t="s">
        <v>827</v>
      </c>
      <c r="B220" s="8" t="s">
        <v>828</v>
      </c>
      <c r="C220" s="9">
        <v>42428</v>
      </c>
      <c r="D220" s="10">
        <v>856</v>
      </c>
    </row>
    <row r="221" spans="1:4">
      <c r="A221" s="7" t="s">
        <v>375</v>
      </c>
      <c r="B221" s="8" t="s">
        <v>374</v>
      </c>
      <c r="C221" s="9">
        <v>42428</v>
      </c>
      <c r="D221" s="10">
        <v>925.28599999999994</v>
      </c>
    </row>
    <row r="222" spans="1:4">
      <c r="A222" s="7" t="s">
        <v>373</v>
      </c>
      <c r="B222" s="8" t="s">
        <v>372</v>
      </c>
      <c r="C222" s="9">
        <v>42428</v>
      </c>
      <c r="D222" s="10">
        <v>1374.133</v>
      </c>
    </row>
    <row r="223" spans="1:4">
      <c r="A223" s="7" t="s">
        <v>723</v>
      </c>
      <c r="B223" s="8" t="s">
        <v>724</v>
      </c>
      <c r="C223" s="9">
        <v>42428</v>
      </c>
      <c r="D223" s="10">
        <v>4329.8720000000003</v>
      </c>
    </row>
    <row r="224" spans="1:4">
      <c r="A224" s="7" t="s">
        <v>145</v>
      </c>
      <c r="B224" s="8" t="s">
        <v>144</v>
      </c>
      <c r="C224" s="9">
        <v>42429</v>
      </c>
      <c r="D224" s="10">
        <v>623</v>
      </c>
    </row>
    <row r="225" spans="1:4">
      <c r="A225" s="7" t="s">
        <v>626</v>
      </c>
      <c r="B225" s="8" t="s">
        <v>627</v>
      </c>
      <c r="C225" s="9">
        <v>42429</v>
      </c>
      <c r="D225" s="10">
        <v>521</v>
      </c>
    </row>
    <row r="226" spans="1:4">
      <c r="A226" s="7" t="s">
        <v>131</v>
      </c>
      <c r="B226" s="8" t="s">
        <v>130</v>
      </c>
      <c r="C226" s="9">
        <v>42429</v>
      </c>
      <c r="D226" s="10">
        <v>2067.4</v>
      </c>
    </row>
    <row r="227" spans="1:4">
      <c r="A227" s="7" t="s">
        <v>135</v>
      </c>
      <c r="B227" s="8" t="s">
        <v>134</v>
      </c>
      <c r="C227" s="9">
        <v>42429</v>
      </c>
      <c r="D227" s="10">
        <v>2628.46</v>
      </c>
    </row>
    <row r="228" spans="1:4">
      <c r="A228" s="7" t="s">
        <v>235</v>
      </c>
      <c r="B228" s="8" t="s">
        <v>234</v>
      </c>
      <c r="C228" s="9">
        <v>42429</v>
      </c>
      <c r="D228" s="10">
        <v>1940.9259999999999</v>
      </c>
    </row>
    <row r="229" spans="1:4">
      <c r="A229" s="7" t="s">
        <v>127</v>
      </c>
      <c r="B229" s="8" t="s">
        <v>126</v>
      </c>
      <c r="C229" s="9">
        <v>42429</v>
      </c>
      <c r="D229" s="10">
        <v>3170</v>
      </c>
    </row>
    <row r="230" spans="1:4">
      <c r="A230" s="7" t="s">
        <v>199</v>
      </c>
      <c r="B230" s="8" t="s">
        <v>198</v>
      </c>
      <c r="C230" s="9">
        <v>42429</v>
      </c>
      <c r="D230" s="10">
        <v>1286.1020000000001</v>
      </c>
    </row>
    <row r="231" spans="1:4">
      <c r="A231" s="7" t="s">
        <v>99</v>
      </c>
      <c r="B231" s="8" t="s">
        <v>98</v>
      </c>
      <c r="C231" s="9">
        <v>42429</v>
      </c>
      <c r="D231" s="10">
        <v>1311.3969999999999</v>
      </c>
    </row>
    <row r="232" spans="1:4">
      <c r="A232" s="7" t="s">
        <v>201</v>
      </c>
      <c r="B232" s="8" t="s">
        <v>200</v>
      </c>
      <c r="C232" s="9">
        <v>42429</v>
      </c>
      <c r="D232" s="10">
        <v>615.61</v>
      </c>
    </row>
    <row r="233" spans="1:4">
      <c r="A233" s="7" t="s">
        <v>105</v>
      </c>
      <c r="B233" s="8" t="s">
        <v>104</v>
      </c>
      <c r="C233" s="9">
        <v>42429</v>
      </c>
      <c r="D233" s="10">
        <v>1400.5170000000001</v>
      </c>
    </row>
    <row r="234" spans="1:4">
      <c r="A234" s="7" t="s">
        <v>103</v>
      </c>
      <c r="B234" s="8" t="s">
        <v>102</v>
      </c>
      <c r="C234" s="9">
        <v>42429</v>
      </c>
      <c r="D234" s="10">
        <v>814.34799999999996</v>
      </c>
    </row>
    <row r="235" spans="1:4">
      <c r="A235" s="7" t="s">
        <v>83</v>
      </c>
      <c r="B235" s="8" t="s">
        <v>82</v>
      </c>
      <c r="C235" s="9">
        <v>42429</v>
      </c>
      <c r="D235" s="10">
        <v>3581.85</v>
      </c>
    </row>
    <row r="236" spans="1:4">
      <c r="A236" s="7" t="s">
        <v>73</v>
      </c>
      <c r="B236" s="8" t="s">
        <v>72</v>
      </c>
      <c r="C236" s="9">
        <v>42429</v>
      </c>
      <c r="D236" s="10">
        <v>948.53499999999997</v>
      </c>
    </row>
    <row r="237" spans="1:4">
      <c r="A237" s="7" t="s">
        <v>227</v>
      </c>
      <c r="B237" s="8" t="s">
        <v>226</v>
      </c>
      <c r="C237" s="9">
        <v>42429</v>
      </c>
      <c r="D237" s="10">
        <v>650</v>
      </c>
    </row>
    <row r="238" spans="1:4">
      <c r="A238" s="7" t="s">
        <v>287</v>
      </c>
      <c r="B238" s="8" t="s">
        <v>286</v>
      </c>
      <c r="C238" s="9">
        <v>42429</v>
      </c>
      <c r="D238" s="10">
        <v>924</v>
      </c>
    </row>
    <row r="239" spans="1:4">
      <c r="A239" s="7" t="s">
        <v>65</v>
      </c>
      <c r="B239" s="8" t="s">
        <v>64</v>
      </c>
      <c r="C239" s="9">
        <v>42429</v>
      </c>
      <c r="D239" s="10">
        <v>797.08199999999999</v>
      </c>
    </row>
    <row r="240" spans="1:4">
      <c r="A240" s="7" t="s">
        <v>45</v>
      </c>
      <c r="B240" s="8" t="s">
        <v>44</v>
      </c>
      <c r="C240" s="9">
        <v>42429</v>
      </c>
      <c r="D240" s="10">
        <v>2800</v>
      </c>
    </row>
    <row r="241" spans="1:4">
      <c r="A241" s="7" t="s">
        <v>313</v>
      </c>
      <c r="B241" s="8" t="s">
        <v>312</v>
      </c>
      <c r="C241" s="9">
        <v>42429</v>
      </c>
      <c r="D241" s="10">
        <v>541.15099999999995</v>
      </c>
    </row>
    <row r="242" spans="1:4">
      <c r="A242" s="7" t="s">
        <v>53</v>
      </c>
      <c r="B242" s="8" t="s">
        <v>52</v>
      </c>
      <c r="C242" s="9">
        <v>42429</v>
      </c>
      <c r="D242" s="10">
        <v>851.08900000000006</v>
      </c>
    </row>
    <row r="243" spans="1:4">
      <c r="A243" s="7" t="s">
        <v>31</v>
      </c>
      <c r="B243" s="8" t="s">
        <v>30</v>
      </c>
      <c r="C243" s="9">
        <v>42429</v>
      </c>
      <c r="D243" s="10">
        <v>805.03</v>
      </c>
    </row>
    <row r="244" spans="1:4">
      <c r="A244" s="7" t="s">
        <v>257</v>
      </c>
      <c r="B244" s="8" t="s">
        <v>256</v>
      </c>
      <c r="C244" s="9">
        <v>42429</v>
      </c>
      <c r="D244" s="10">
        <v>879.40499999999997</v>
      </c>
    </row>
    <row r="245" spans="1:4">
      <c r="A245" s="7" t="s">
        <v>311</v>
      </c>
      <c r="B245" s="8" t="s">
        <v>310</v>
      </c>
      <c r="C245" s="9">
        <v>42429</v>
      </c>
      <c r="D245" s="10">
        <v>902.08</v>
      </c>
    </row>
    <row r="246" spans="1:4">
      <c r="A246" s="7" t="s">
        <v>31</v>
      </c>
      <c r="B246" s="8" t="s">
        <v>30</v>
      </c>
      <c r="C246" s="9">
        <v>42429</v>
      </c>
      <c r="D246" s="10">
        <v>674.98599999999999</v>
      </c>
    </row>
    <row r="247" spans="1:4">
      <c r="A247" s="7" t="s">
        <v>277</v>
      </c>
      <c r="B247" s="8" t="s">
        <v>276</v>
      </c>
      <c r="C247" s="9">
        <v>42429</v>
      </c>
      <c r="D247" s="10">
        <v>300.31</v>
      </c>
    </row>
    <row r="248" spans="1:4">
      <c r="A248" s="7" t="s">
        <v>177</v>
      </c>
      <c r="B248" s="8" t="s">
        <v>176</v>
      </c>
      <c r="C248" s="9">
        <v>42429</v>
      </c>
      <c r="D248" s="10">
        <v>283.88900000000001</v>
      </c>
    </row>
    <row r="249" spans="1:4">
      <c r="A249" s="7" t="s">
        <v>721</v>
      </c>
      <c r="B249" s="8" t="s">
        <v>722</v>
      </c>
      <c r="C249" s="9">
        <v>42429</v>
      </c>
      <c r="D249" s="10">
        <v>4853.7449999999999</v>
      </c>
    </row>
    <row r="250" spans="1:4">
      <c r="A250" s="7" t="s">
        <v>829</v>
      </c>
      <c r="B250" s="8" t="s">
        <v>830</v>
      </c>
      <c r="C250" s="9">
        <v>42429</v>
      </c>
      <c r="D250" s="10">
        <v>1179.7929999999999</v>
      </c>
    </row>
    <row r="251" spans="1:4">
      <c r="A251" s="7" t="s">
        <v>592</v>
      </c>
      <c r="B251" s="8" t="s">
        <v>593</v>
      </c>
      <c r="C251" s="9">
        <v>42429</v>
      </c>
      <c r="D251" s="10">
        <v>197.23599999999999</v>
      </c>
    </row>
    <row r="252" spans="1:4">
      <c r="A252" s="7" t="s">
        <v>321</v>
      </c>
      <c r="B252" s="8" t="s">
        <v>320</v>
      </c>
      <c r="C252" s="9">
        <v>42429</v>
      </c>
      <c r="D252" s="10">
        <v>1677.8589999999999</v>
      </c>
    </row>
    <row r="253" spans="1:4">
      <c r="A253" s="7" t="s">
        <v>33</v>
      </c>
      <c r="B253" s="8" t="s">
        <v>32</v>
      </c>
      <c r="C253" s="9">
        <v>42429</v>
      </c>
      <c r="D253" s="10">
        <v>3245.9009999999998</v>
      </c>
    </row>
    <row r="254" spans="1:4">
      <c r="A254" s="7" t="s">
        <v>337</v>
      </c>
      <c r="B254" s="8" t="s">
        <v>336</v>
      </c>
      <c r="C254" s="9">
        <v>42429</v>
      </c>
      <c r="D254" s="10">
        <v>120</v>
      </c>
    </row>
    <row r="255" spans="1:4">
      <c r="A255" s="7" t="s">
        <v>815</v>
      </c>
      <c r="B255" s="8" t="s">
        <v>816</v>
      </c>
      <c r="C255" s="9">
        <v>42429</v>
      </c>
      <c r="D255" s="10">
        <v>3071.2449999999999</v>
      </c>
    </row>
    <row r="256" spans="1:4">
      <c r="A256" s="7" t="s">
        <v>664</v>
      </c>
      <c r="B256" s="8" t="s">
        <v>665</v>
      </c>
      <c r="C256" s="9">
        <v>42429</v>
      </c>
      <c r="D256" s="10">
        <v>220.614</v>
      </c>
    </row>
    <row r="257" spans="1:5" ht="15.75" thickBot="1">
      <c r="A257" s="11" t="s">
        <v>275</v>
      </c>
      <c r="B257" s="12" t="s">
        <v>274</v>
      </c>
      <c r="C257" s="13">
        <v>42429</v>
      </c>
      <c r="D257" s="14">
        <v>912.346</v>
      </c>
    </row>
    <row r="258" spans="1:5" ht="15.75" thickBot="1">
      <c r="A258" s="668" t="s">
        <v>733</v>
      </c>
      <c r="B258" s="669"/>
      <c r="C258" s="669"/>
      <c r="D258" s="335">
        <f>SUM(D2:D257)</f>
        <v>384994.84099999984</v>
      </c>
      <c r="E258" s="334"/>
    </row>
    <row r="259" spans="1:5">
      <c r="A259" s="3" t="s">
        <v>117</v>
      </c>
      <c r="B259" s="4" t="s">
        <v>116</v>
      </c>
      <c r="C259" s="5">
        <v>42430</v>
      </c>
      <c r="D259" s="6">
        <v>4514.7690000000002</v>
      </c>
    </row>
    <row r="260" spans="1:5">
      <c r="A260" s="7" t="s">
        <v>243</v>
      </c>
      <c r="B260" s="8" t="s">
        <v>242</v>
      </c>
      <c r="C260" s="9">
        <v>42430</v>
      </c>
      <c r="D260" s="10">
        <v>3000</v>
      </c>
    </row>
    <row r="261" spans="1:5">
      <c r="A261" s="7" t="s">
        <v>371</v>
      </c>
      <c r="B261" s="8" t="s">
        <v>370</v>
      </c>
      <c r="C261" s="9">
        <v>42430</v>
      </c>
      <c r="D261" s="10">
        <v>2296.0929999999998</v>
      </c>
    </row>
    <row r="262" spans="1:5">
      <c r="A262" s="7" t="s">
        <v>790</v>
      </c>
      <c r="B262" s="8" t="s">
        <v>791</v>
      </c>
      <c r="C262" s="9">
        <v>42430</v>
      </c>
      <c r="D262" s="10">
        <v>120</v>
      </c>
    </row>
    <row r="263" spans="1:5">
      <c r="A263" s="7" t="s">
        <v>831</v>
      </c>
      <c r="B263" s="8" t="s">
        <v>832</v>
      </c>
      <c r="C263" s="9">
        <v>42430</v>
      </c>
      <c r="D263" s="10">
        <v>1219.683</v>
      </c>
    </row>
    <row r="264" spans="1:5">
      <c r="A264" s="7" t="s">
        <v>628</v>
      </c>
      <c r="B264" s="8" t="s">
        <v>629</v>
      </c>
      <c r="C264" s="9">
        <v>42431</v>
      </c>
      <c r="D264" s="10">
        <v>3300</v>
      </c>
    </row>
    <row r="265" spans="1:5">
      <c r="A265" s="7" t="s">
        <v>417</v>
      </c>
      <c r="B265" s="8" t="s">
        <v>416</v>
      </c>
      <c r="C265" s="9">
        <v>42431</v>
      </c>
      <c r="D265" s="10">
        <v>4677.5709999999999</v>
      </c>
    </row>
    <row r="266" spans="1:5">
      <c r="A266" s="7" t="s">
        <v>792</v>
      </c>
      <c r="B266" s="8" t="s">
        <v>793</v>
      </c>
      <c r="C266" s="9">
        <v>42431</v>
      </c>
      <c r="D266" s="10">
        <v>200</v>
      </c>
    </row>
    <row r="267" spans="1:5">
      <c r="A267" s="7" t="s">
        <v>355</v>
      </c>
      <c r="B267" s="8" t="s">
        <v>354</v>
      </c>
      <c r="C267" s="9">
        <v>42431</v>
      </c>
      <c r="D267" s="10">
        <v>850</v>
      </c>
    </row>
    <row r="268" spans="1:5">
      <c r="A268" s="7" t="s">
        <v>227</v>
      </c>
      <c r="B268" s="8" t="s">
        <v>226</v>
      </c>
      <c r="C268" s="9">
        <v>42432</v>
      </c>
      <c r="D268" s="10">
        <v>644.77499999999998</v>
      </c>
    </row>
    <row r="269" spans="1:5">
      <c r="A269" s="7" t="s">
        <v>634</v>
      </c>
      <c r="B269" s="8" t="s">
        <v>635</v>
      </c>
      <c r="C269" s="9">
        <v>42432</v>
      </c>
      <c r="D269" s="10">
        <v>3000</v>
      </c>
    </row>
    <row r="270" spans="1:5">
      <c r="A270" s="7" t="s">
        <v>365</v>
      </c>
      <c r="B270" s="8" t="s">
        <v>364</v>
      </c>
      <c r="C270" s="9">
        <v>42432</v>
      </c>
      <c r="D270" s="10">
        <v>1771.3440000000001</v>
      </c>
    </row>
    <row r="271" spans="1:5">
      <c r="A271" s="7" t="s">
        <v>269</v>
      </c>
      <c r="B271" s="8" t="s">
        <v>268</v>
      </c>
      <c r="C271" s="9">
        <v>42434</v>
      </c>
      <c r="D271" s="10">
        <v>1745.489</v>
      </c>
    </row>
    <row r="272" spans="1:5">
      <c r="A272" s="7" t="s">
        <v>145</v>
      </c>
      <c r="B272" s="8" t="s">
        <v>144</v>
      </c>
      <c r="C272" s="9">
        <v>42434</v>
      </c>
      <c r="D272" s="10">
        <v>594.803</v>
      </c>
    </row>
    <row r="273" spans="1:4">
      <c r="A273" s="7" t="s">
        <v>341</v>
      </c>
      <c r="B273" s="8" t="s">
        <v>340</v>
      </c>
      <c r="C273" s="9">
        <v>42434</v>
      </c>
      <c r="D273" s="10">
        <v>1279.25</v>
      </c>
    </row>
    <row r="274" spans="1:4">
      <c r="A274" s="7" t="s">
        <v>143</v>
      </c>
      <c r="B274" s="8" t="s">
        <v>142</v>
      </c>
      <c r="C274" s="9">
        <v>42434</v>
      </c>
      <c r="D274" s="10">
        <v>2000</v>
      </c>
    </row>
    <row r="275" spans="1:4">
      <c r="A275" s="7" t="s">
        <v>139</v>
      </c>
      <c r="B275" s="8" t="s">
        <v>138</v>
      </c>
      <c r="C275" s="9">
        <v>42434</v>
      </c>
      <c r="D275" s="10">
        <v>473.67399999999998</v>
      </c>
    </row>
    <row r="276" spans="1:4">
      <c r="A276" s="7" t="s">
        <v>185</v>
      </c>
      <c r="B276" s="8" t="s">
        <v>184</v>
      </c>
      <c r="C276" s="9">
        <v>42434</v>
      </c>
      <c r="D276" s="10">
        <v>1526.5119999999999</v>
      </c>
    </row>
    <row r="277" spans="1:4">
      <c r="A277" s="7" t="s">
        <v>407</v>
      </c>
      <c r="B277" s="8" t="s">
        <v>406</v>
      </c>
      <c r="C277" s="9">
        <v>42434</v>
      </c>
      <c r="D277" s="10">
        <v>1329.7919999999999</v>
      </c>
    </row>
    <row r="278" spans="1:4">
      <c r="A278" s="7" t="s">
        <v>123</v>
      </c>
      <c r="B278" s="8" t="s">
        <v>122</v>
      </c>
      <c r="C278" s="9">
        <v>42434</v>
      </c>
      <c r="D278" s="10">
        <v>1920.67</v>
      </c>
    </row>
    <row r="279" spans="1:4">
      <c r="A279" s="7" t="s">
        <v>97</v>
      </c>
      <c r="B279" s="8" t="s">
        <v>96</v>
      </c>
      <c r="C279" s="9">
        <v>42434</v>
      </c>
      <c r="D279" s="10">
        <v>644.67399999999998</v>
      </c>
    </row>
    <row r="280" spans="1:4">
      <c r="A280" s="7" t="s">
        <v>95</v>
      </c>
      <c r="B280" s="8" t="s">
        <v>94</v>
      </c>
      <c r="C280" s="9">
        <v>42434</v>
      </c>
      <c r="D280" s="10">
        <v>976.37400000000002</v>
      </c>
    </row>
    <row r="281" spans="1:4">
      <c r="A281" s="7" t="s">
        <v>91</v>
      </c>
      <c r="B281" s="8" t="s">
        <v>90</v>
      </c>
      <c r="C281" s="9">
        <v>42434</v>
      </c>
      <c r="D281" s="10">
        <v>765.35900000000004</v>
      </c>
    </row>
    <row r="282" spans="1:4">
      <c r="A282" s="7" t="s">
        <v>405</v>
      </c>
      <c r="B282" s="8" t="s">
        <v>404</v>
      </c>
      <c r="C282" s="9">
        <v>42434</v>
      </c>
      <c r="D282" s="10">
        <v>1480.3320000000001</v>
      </c>
    </row>
    <row r="283" spans="1:4">
      <c r="A283" s="7" t="s">
        <v>299</v>
      </c>
      <c r="B283" s="8" t="s">
        <v>298</v>
      </c>
      <c r="C283" s="9">
        <v>42434</v>
      </c>
      <c r="D283" s="10">
        <v>497.47399999999999</v>
      </c>
    </row>
    <row r="284" spans="1:4">
      <c r="A284" s="7" t="s">
        <v>43</v>
      </c>
      <c r="B284" s="8" t="s">
        <v>42</v>
      </c>
      <c r="C284" s="9">
        <v>42434</v>
      </c>
      <c r="D284" s="10">
        <v>3000</v>
      </c>
    </row>
    <row r="285" spans="1:4">
      <c r="A285" s="7" t="s">
        <v>383</v>
      </c>
      <c r="B285" s="8" t="s">
        <v>382</v>
      </c>
      <c r="C285" s="9">
        <v>42434</v>
      </c>
      <c r="D285" s="10">
        <v>1718.9690000000001</v>
      </c>
    </row>
    <row r="286" spans="1:4">
      <c r="A286" s="7" t="s">
        <v>225</v>
      </c>
      <c r="B286" s="8" t="s">
        <v>224</v>
      </c>
      <c r="C286" s="9">
        <v>42434</v>
      </c>
      <c r="D286" s="10">
        <v>650</v>
      </c>
    </row>
    <row r="287" spans="1:4">
      <c r="A287" s="7" t="s">
        <v>780</v>
      </c>
      <c r="B287" s="8" t="s">
        <v>781</v>
      </c>
      <c r="C287" s="9">
        <v>42434</v>
      </c>
      <c r="D287" s="10">
        <v>5000</v>
      </c>
    </row>
    <row r="288" spans="1:4">
      <c r="A288" s="7" t="s">
        <v>263</v>
      </c>
      <c r="B288" s="8" t="s">
        <v>262</v>
      </c>
      <c r="C288" s="9">
        <v>42434</v>
      </c>
      <c r="D288" s="10">
        <v>737.05399999999997</v>
      </c>
    </row>
    <row r="289" spans="1:4">
      <c r="A289" s="7" t="s">
        <v>119</v>
      </c>
      <c r="B289" s="8" t="s">
        <v>118</v>
      </c>
      <c r="C289" s="9">
        <v>42434</v>
      </c>
      <c r="D289" s="10">
        <v>4000</v>
      </c>
    </row>
    <row r="290" spans="1:4">
      <c r="A290" s="7" t="s">
        <v>586</v>
      </c>
      <c r="B290" s="8" t="s">
        <v>587</v>
      </c>
      <c r="C290" s="9">
        <v>42434</v>
      </c>
      <c r="D290" s="10">
        <v>800</v>
      </c>
    </row>
    <row r="291" spans="1:4">
      <c r="A291" s="7" t="s">
        <v>157</v>
      </c>
      <c r="B291" s="8" t="s">
        <v>156</v>
      </c>
      <c r="C291" s="9">
        <v>42434</v>
      </c>
      <c r="D291" s="10">
        <v>850</v>
      </c>
    </row>
    <row r="292" spans="1:4">
      <c r="A292" s="7" t="s">
        <v>351</v>
      </c>
      <c r="B292" s="8" t="s">
        <v>350</v>
      </c>
      <c r="C292" s="9">
        <v>42434</v>
      </c>
      <c r="D292" s="10">
        <v>660</v>
      </c>
    </row>
    <row r="293" spans="1:4">
      <c r="A293" s="7" t="s">
        <v>725</v>
      </c>
      <c r="B293" s="8" t="s">
        <v>726</v>
      </c>
      <c r="C293" s="9">
        <v>42434</v>
      </c>
      <c r="D293" s="10">
        <v>3520.0740000000001</v>
      </c>
    </row>
    <row r="294" spans="1:4">
      <c r="A294" s="7" t="s">
        <v>251</v>
      </c>
      <c r="B294" s="8" t="s">
        <v>250</v>
      </c>
      <c r="C294" s="9">
        <v>42435</v>
      </c>
      <c r="D294" s="10">
        <v>1579.2909999999999</v>
      </c>
    </row>
    <row r="295" spans="1:4">
      <c r="A295" s="7" t="s">
        <v>221</v>
      </c>
      <c r="B295" s="8" t="s">
        <v>220</v>
      </c>
      <c r="C295" s="9">
        <v>42436</v>
      </c>
      <c r="D295" s="10">
        <v>2089.6149999999998</v>
      </c>
    </row>
    <row r="296" spans="1:4">
      <c r="A296" s="7" t="s">
        <v>580</v>
      </c>
      <c r="B296" s="8" t="s">
        <v>581</v>
      </c>
      <c r="C296" s="9">
        <v>42436</v>
      </c>
      <c r="D296" s="10">
        <v>1986</v>
      </c>
    </row>
    <row r="297" spans="1:4">
      <c r="A297" s="7" t="s">
        <v>347</v>
      </c>
      <c r="B297" s="8" t="s">
        <v>346</v>
      </c>
      <c r="C297" s="9">
        <v>42436</v>
      </c>
      <c r="D297" s="10">
        <v>7971.2610000000004</v>
      </c>
    </row>
    <row r="298" spans="1:4">
      <c r="A298" s="7" t="s">
        <v>69</v>
      </c>
      <c r="B298" s="8" t="s">
        <v>68</v>
      </c>
      <c r="C298" s="9">
        <v>42436</v>
      </c>
      <c r="D298" s="10">
        <v>1500</v>
      </c>
    </row>
    <row r="299" spans="1:4">
      <c r="A299" s="7" t="s">
        <v>281</v>
      </c>
      <c r="B299" s="8" t="s">
        <v>280</v>
      </c>
      <c r="C299" s="9">
        <v>42436</v>
      </c>
      <c r="D299" s="10">
        <v>400</v>
      </c>
    </row>
    <row r="300" spans="1:4">
      <c r="A300" s="7" t="s">
        <v>369</v>
      </c>
      <c r="B300" s="8" t="s">
        <v>368</v>
      </c>
      <c r="C300" s="9">
        <v>42436</v>
      </c>
      <c r="D300" s="10">
        <v>1880.778</v>
      </c>
    </row>
    <row r="301" spans="1:4">
      <c r="A301" s="7" t="s">
        <v>299</v>
      </c>
      <c r="B301" s="8" t="s">
        <v>298</v>
      </c>
      <c r="C301" s="9">
        <v>42436</v>
      </c>
      <c r="D301" s="10">
        <v>553.75</v>
      </c>
    </row>
    <row r="302" spans="1:4">
      <c r="A302" s="7" t="s">
        <v>363</v>
      </c>
      <c r="B302" s="8" t="s">
        <v>362</v>
      </c>
      <c r="C302" s="9">
        <v>42437</v>
      </c>
      <c r="D302" s="10">
        <v>2500</v>
      </c>
    </row>
    <row r="303" spans="1:4">
      <c r="A303" s="7" t="s">
        <v>19</v>
      </c>
      <c r="B303" s="8" t="s">
        <v>18</v>
      </c>
      <c r="C303" s="9">
        <v>42437</v>
      </c>
      <c r="D303" s="10">
        <v>4000</v>
      </c>
    </row>
    <row r="304" spans="1:4">
      <c r="A304" s="7" t="s">
        <v>77</v>
      </c>
      <c r="B304" s="8" t="s">
        <v>76</v>
      </c>
      <c r="C304" s="9">
        <v>42437</v>
      </c>
      <c r="D304" s="10">
        <v>1200</v>
      </c>
    </row>
    <row r="305" spans="1:4">
      <c r="A305" s="7" t="s">
        <v>395</v>
      </c>
      <c r="B305" s="8" t="s">
        <v>394</v>
      </c>
      <c r="C305" s="9">
        <v>42437</v>
      </c>
      <c r="D305" s="10">
        <v>1519.163</v>
      </c>
    </row>
    <row r="306" spans="1:4">
      <c r="A306" s="7" t="s">
        <v>355</v>
      </c>
      <c r="B306" s="8" t="s">
        <v>354</v>
      </c>
      <c r="C306" s="9">
        <v>42438</v>
      </c>
      <c r="D306" s="10">
        <v>1000</v>
      </c>
    </row>
    <row r="307" spans="1:4">
      <c r="A307" s="7" t="s">
        <v>145</v>
      </c>
      <c r="B307" s="8" t="s">
        <v>144</v>
      </c>
      <c r="C307" s="9">
        <v>42439</v>
      </c>
      <c r="D307" s="10">
        <v>543.45100000000002</v>
      </c>
    </row>
    <row r="308" spans="1:4">
      <c r="A308" s="7" t="s">
        <v>626</v>
      </c>
      <c r="B308" s="8" t="s">
        <v>627</v>
      </c>
      <c r="C308" s="9">
        <v>42439</v>
      </c>
      <c r="D308" s="10">
        <v>521</v>
      </c>
    </row>
    <row r="309" spans="1:4">
      <c r="A309" s="7" t="s">
        <v>251</v>
      </c>
      <c r="B309" s="8" t="s">
        <v>250</v>
      </c>
      <c r="C309" s="9">
        <v>42439</v>
      </c>
      <c r="D309" s="10">
        <v>1579.2909999999999</v>
      </c>
    </row>
    <row r="310" spans="1:4">
      <c r="A310" s="7" t="s">
        <v>115</v>
      </c>
      <c r="B310" s="8" t="s">
        <v>114</v>
      </c>
      <c r="C310" s="9">
        <v>42439</v>
      </c>
      <c r="D310" s="10">
        <v>3539.5</v>
      </c>
    </row>
    <row r="311" spans="1:4">
      <c r="A311" s="7" t="s">
        <v>113</v>
      </c>
      <c r="B311" s="8" t="s">
        <v>112</v>
      </c>
      <c r="C311" s="9">
        <v>42439</v>
      </c>
      <c r="D311" s="10">
        <v>3500</v>
      </c>
    </row>
    <row r="312" spans="1:4">
      <c r="A312" s="7" t="s">
        <v>357</v>
      </c>
      <c r="B312" s="8" t="s">
        <v>356</v>
      </c>
      <c r="C312" s="9">
        <v>42439</v>
      </c>
      <c r="D312" s="10">
        <v>786.51900000000001</v>
      </c>
    </row>
    <row r="313" spans="1:4">
      <c r="A313" s="7" t="s">
        <v>287</v>
      </c>
      <c r="B313" s="8" t="s">
        <v>286</v>
      </c>
      <c r="C313" s="9">
        <v>42439</v>
      </c>
      <c r="D313" s="10">
        <v>924.23699999999997</v>
      </c>
    </row>
    <row r="314" spans="1:4">
      <c r="A314" s="7" t="s">
        <v>253</v>
      </c>
      <c r="B314" s="8" t="s">
        <v>252</v>
      </c>
      <c r="C314" s="9">
        <v>42439</v>
      </c>
      <c r="D314" s="10">
        <v>1508.92</v>
      </c>
    </row>
    <row r="315" spans="1:4">
      <c r="A315" s="7" t="s">
        <v>243</v>
      </c>
      <c r="B315" s="8" t="s">
        <v>242</v>
      </c>
      <c r="C315" s="9">
        <v>42439</v>
      </c>
      <c r="D315" s="10">
        <v>2265.1979999999999</v>
      </c>
    </row>
    <row r="316" spans="1:4">
      <c r="A316" s="7" t="s">
        <v>241</v>
      </c>
      <c r="B316" s="8" t="s">
        <v>240</v>
      </c>
      <c r="C316" s="9">
        <v>42439</v>
      </c>
      <c r="D316" s="10">
        <v>2864.0419999999999</v>
      </c>
    </row>
    <row r="317" spans="1:4">
      <c r="A317" s="7" t="s">
        <v>173</v>
      </c>
      <c r="B317" s="8" t="s">
        <v>172</v>
      </c>
      <c r="C317" s="9">
        <v>42439</v>
      </c>
      <c r="D317" s="10">
        <v>1620.884</v>
      </c>
    </row>
    <row r="318" spans="1:4">
      <c r="A318" s="7" t="s">
        <v>289</v>
      </c>
      <c r="B318" s="8" t="s">
        <v>288</v>
      </c>
      <c r="C318" s="9">
        <v>42439</v>
      </c>
      <c r="D318" s="10">
        <v>2400</v>
      </c>
    </row>
    <row r="319" spans="1:4">
      <c r="A319" s="7" t="s">
        <v>67</v>
      </c>
      <c r="B319" s="8" t="s">
        <v>66</v>
      </c>
      <c r="C319" s="9">
        <v>42439</v>
      </c>
      <c r="D319" s="10">
        <v>1666.9269999999999</v>
      </c>
    </row>
    <row r="320" spans="1:4">
      <c r="A320" s="7" t="s">
        <v>73</v>
      </c>
      <c r="B320" s="8" t="s">
        <v>72</v>
      </c>
      <c r="C320" s="9">
        <v>42439</v>
      </c>
      <c r="D320" s="10">
        <v>400</v>
      </c>
    </row>
    <row r="321" spans="1:5">
      <c r="A321" s="7" t="s">
        <v>45</v>
      </c>
      <c r="B321" s="8" t="s">
        <v>44</v>
      </c>
      <c r="C321" s="9">
        <v>42439</v>
      </c>
      <c r="D321" s="10">
        <v>2827.4459999999999</v>
      </c>
    </row>
    <row r="322" spans="1:5">
      <c r="A322" s="7" t="s">
        <v>393</v>
      </c>
      <c r="B322" s="8" t="s">
        <v>392</v>
      </c>
      <c r="C322" s="9">
        <v>42439</v>
      </c>
      <c r="D322" s="10">
        <v>1467.329</v>
      </c>
    </row>
    <row r="323" spans="1:5">
      <c r="A323" s="7" t="s">
        <v>331</v>
      </c>
      <c r="B323" s="8" t="s">
        <v>330</v>
      </c>
      <c r="C323" s="9">
        <v>42439</v>
      </c>
      <c r="D323" s="10">
        <v>328.61700000000002</v>
      </c>
    </row>
    <row r="324" spans="1:5">
      <c r="A324" s="7" t="s">
        <v>283</v>
      </c>
      <c r="B324" s="8" t="s">
        <v>282</v>
      </c>
      <c r="C324" s="9">
        <v>42439</v>
      </c>
      <c r="D324" s="10">
        <v>2121.8560000000002</v>
      </c>
    </row>
    <row r="325" spans="1:5">
      <c r="A325" s="7" t="s">
        <v>315</v>
      </c>
      <c r="B325" s="8" t="s">
        <v>314</v>
      </c>
      <c r="C325" s="9">
        <v>42439</v>
      </c>
      <c r="D325" s="10">
        <v>1905.6659999999999</v>
      </c>
    </row>
    <row r="326" spans="1:5">
      <c r="A326" s="7" t="s">
        <v>165</v>
      </c>
      <c r="B326" s="8" t="s">
        <v>164</v>
      </c>
      <c r="C326" s="9">
        <v>42439</v>
      </c>
      <c r="D326" s="10">
        <v>750</v>
      </c>
    </row>
    <row r="327" spans="1:5">
      <c r="A327" s="7" t="s">
        <v>31</v>
      </c>
      <c r="B327" s="8" t="s">
        <v>30</v>
      </c>
      <c r="C327" s="9">
        <v>42439</v>
      </c>
      <c r="D327" s="10">
        <v>650</v>
      </c>
    </row>
    <row r="328" spans="1:5">
      <c r="A328" s="7" t="s">
        <v>23</v>
      </c>
      <c r="B328" s="8" t="s">
        <v>22</v>
      </c>
      <c r="C328" s="9">
        <v>42439</v>
      </c>
      <c r="D328" s="10">
        <v>1452.3610000000001</v>
      </c>
    </row>
    <row r="329" spans="1:5">
      <c r="A329" s="7" t="s">
        <v>307</v>
      </c>
      <c r="B329" s="8" t="s">
        <v>306</v>
      </c>
      <c r="C329" s="9">
        <v>42439</v>
      </c>
      <c r="D329" s="10">
        <v>2500</v>
      </c>
    </row>
    <row r="330" spans="1:5">
      <c r="A330" s="7" t="s">
        <v>255</v>
      </c>
      <c r="B330" s="8" t="s">
        <v>254</v>
      </c>
      <c r="C330" s="9">
        <v>42439</v>
      </c>
      <c r="D330" s="10">
        <v>2952.1379999999999</v>
      </c>
    </row>
    <row r="331" spans="1:5">
      <c r="A331" s="7" t="s">
        <v>225</v>
      </c>
      <c r="B331" s="8" t="s">
        <v>224</v>
      </c>
      <c r="C331" s="9">
        <v>42439</v>
      </c>
      <c r="D331" s="10">
        <v>645</v>
      </c>
    </row>
    <row r="332" spans="1:5">
      <c r="A332" s="7" t="s">
        <v>367</v>
      </c>
      <c r="B332" s="8" t="s">
        <v>366</v>
      </c>
      <c r="C332" s="9">
        <v>42439</v>
      </c>
      <c r="D332" s="10">
        <v>698.62</v>
      </c>
    </row>
    <row r="333" spans="1:5">
      <c r="A333" s="7" t="s">
        <v>658</v>
      </c>
      <c r="B333" s="8" t="s">
        <v>659</v>
      </c>
      <c r="C333" s="9">
        <v>42439</v>
      </c>
      <c r="D333" s="10">
        <v>1610.163</v>
      </c>
    </row>
    <row r="334" spans="1:5">
      <c r="A334" s="7" t="s">
        <v>833</v>
      </c>
      <c r="B334" s="8" t="s">
        <v>834</v>
      </c>
      <c r="C334" s="9">
        <v>42439</v>
      </c>
      <c r="D334" s="10">
        <v>1000</v>
      </c>
    </row>
    <row r="335" spans="1:5">
      <c r="A335" s="7" t="s">
        <v>337</v>
      </c>
      <c r="B335" s="8" t="s">
        <v>336</v>
      </c>
      <c r="C335" s="9">
        <v>42439</v>
      </c>
      <c r="D335" s="10">
        <v>300</v>
      </c>
    </row>
    <row r="336" spans="1:5" s="334" customFormat="1">
      <c r="A336" s="7" t="s">
        <v>355</v>
      </c>
      <c r="B336" s="8" t="s">
        <v>354</v>
      </c>
      <c r="C336" s="9">
        <v>42439</v>
      </c>
      <c r="D336" s="10">
        <v>1000</v>
      </c>
      <c r="E336"/>
    </row>
    <row r="337" spans="1:4">
      <c r="A337" s="7" t="s">
        <v>49</v>
      </c>
      <c r="B337" s="8" t="s">
        <v>48</v>
      </c>
      <c r="C337" s="9">
        <v>42439</v>
      </c>
      <c r="D337" s="10">
        <v>423</v>
      </c>
    </row>
    <row r="338" spans="1:4">
      <c r="A338" s="7" t="s">
        <v>337</v>
      </c>
      <c r="B338" s="8" t="s">
        <v>336</v>
      </c>
      <c r="C338" s="9">
        <v>42439</v>
      </c>
      <c r="D338" s="10">
        <v>440</v>
      </c>
    </row>
    <row r="339" spans="1:4">
      <c r="A339" s="7" t="s">
        <v>572</v>
      </c>
      <c r="B339" s="8" t="s">
        <v>573</v>
      </c>
      <c r="C339" s="9">
        <v>42439</v>
      </c>
      <c r="D339" s="10">
        <v>2570.5050000000001</v>
      </c>
    </row>
    <row r="340" spans="1:4">
      <c r="A340" s="7" t="s">
        <v>157</v>
      </c>
      <c r="B340" s="8" t="s">
        <v>156</v>
      </c>
      <c r="C340" s="9">
        <v>42439</v>
      </c>
      <c r="D340" s="10">
        <v>800</v>
      </c>
    </row>
    <row r="341" spans="1:4">
      <c r="A341" s="7" t="s">
        <v>353</v>
      </c>
      <c r="B341" s="8" t="s">
        <v>352</v>
      </c>
      <c r="C341" s="9">
        <v>42439</v>
      </c>
      <c r="D341" s="10">
        <v>2371.1750000000002</v>
      </c>
    </row>
    <row r="342" spans="1:4">
      <c r="A342" s="7" t="s">
        <v>275</v>
      </c>
      <c r="B342" s="8" t="s">
        <v>274</v>
      </c>
      <c r="C342" s="9">
        <v>42439</v>
      </c>
      <c r="D342" s="10">
        <v>1100</v>
      </c>
    </row>
    <row r="343" spans="1:4">
      <c r="A343" s="7" t="s">
        <v>717</v>
      </c>
      <c r="B343" s="8" t="s">
        <v>718</v>
      </c>
      <c r="C343" s="9">
        <v>42439</v>
      </c>
      <c r="D343" s="10">
        <v>3251.4009999999998</v>
      </c>
    </row>
    <row r="344" spans="1:4">
      <c r="A344" s="7" t="s">
        <v>578</v>
      </c>
      <c r="B344" s="8" t="s">
        <v>579</v>
      </c>
      <c r="C344" s="9">
        <v>42440</v>
      </c>
      <c r="D344" s="10">
        <v>4418.3180000000002</v>
      </c>
    </row>
    <row r="345" spans="1:4">
      <c r="A345" s="7" t="s">
        <v>349</v>
      </c>
      <c r="B345" s="8" t="s">
        <v>348</v>
      </c>
      <c r="C345" s="9">
        <v>42440</v>
      </c>
      <c r="D345" s="10">
        <v>1200</v>
      </c>
    </row>
    <row r="346" spans="1:4">
      <c r="A346" s="7" t="s">
        <v>19</v>
      </c>
      <c r="B346" s="8" t="s">
        <v>18</v>
      </c>
      <c r="C346" s="9">
        <v>42440</v>
      </c>
      <c r="D346" s="10">
        <v>3500</v>
      </c>
    </row>
    <row r="347" spans="1:4">
      <c r="A347" s="7" t="s">
        <v>299</v>
      </c>
      <c r="B347" s="8" t="s">
        <v>298</v>
      </c>
      <c r="C347" s="9">
        <v>42441</v>
      </c>
      <c r="D347" s="10">
        <v>468</v>
      </c>
    </row>
    <row r="348" spans="1:4">
      <c r="A348" s="7" t="s">
        <v>119</v>
      </c>
      <c r="B348" s="8" t="s">
        <v>118</v>
      </c>
      <c r="C348" s="9">
        <v>42441</v>
      </c>
      <c r="D348" s="10">
        <v>4000</v>
      </c>
    </row>
    <row r="349" spans="1:4">
      <c r="A349" s="7" t="s">
        <v>303</v>
      </c>
      <c r="B349" s="8" t="s">
        <v>302</v>
      </c>
      <c r="C349" s="9">
        <v>42442</v>
      </c>
      <c r="D349" s="10">
        <v>1799.009</v>
      </c>
    </row>
    <row r="350" spans="1:4">
      <c r="A350" s="7" t="s">
        <v>634</v>
      </c>
      <c r="B350" s="8" t="s">
        <v>635</v>
      </c>
      <c r="C350" s="9">
        <v>42442</v>
      </c>
      <c r="D350" s="10">
        <v>3000</v>
      </c>
    </row>
    <row r="351" spans="1:4">
      <c r="A351" s="7" t="s">
        <v>590</v>
      </c>
      <c r="B351" s="8" t="s">
        <v>591</v>
      </c>
      <c r="C351" s="9">
        <v>42442</v>
      </c>
      <c r="D351" s="10">
        <v>1567.27</v>
      </c>
    </row>
    <row r="352" spans="1:4">
      <c r="A352" s="7" t="s">
        <v>227</v>
      </c>
      <c r="B352" s="8" t="s">
        <v>226</v>
      </c>
      <c r="C352" s="9">
        <v>42443</v>
      </c>
      <c r="D352" s="10">
        <v>1320</v>
      </c>
    </row>
    <row r="353" spans="1:4">
      <c r="A353" s="7" t="s">
        <v>267</v>
      </c>
      <c r="B353" s="8" t="s">
        <v>266</v>
      </c>
      <c r="C353" s="9">
        <v>42443</v>
      </c>
      <c r="D353" s="10">
        <v>437.94400000000002</v>
      </c>
    </row>
    <row r="354" spans="1:4">
      <c r="A354" s="7" t="s">
        <v>229</v>
      </c>
      <c r="B354" s="8" t="s">
        <v>228</v>
      </c>
      <c r="C354" s="9">
        <v>42443</v>
      </c>
      <c r="D354" s="10">
        <v>350</v>
      </c>
    </row>
    <row r="355" spans="1:4">
      <c r="A355" s="7" t="s">
        <v>291</v>
      </c>
      <c r="B355" s="8" t="s">
        <v>290</v>
      </c>
      <c r="C355" s="9">
        <v>42443</v>
      </c>
      <c r="D355" s="10">
        <v>1093.2840000000001</v>
      </c>
    </row>
    <row r="356" spans="1:4">
      <c r="A356" s="7" t="s">
        <v>299</v>
      </c>
      <c r="B356" s="8" t="s">
        <v>298</v>
      </c>
      <c r="C356" s="9">
        <v>42443</v>
      </c>
      <c r="D356" s="10">
        <v>553.75</v>
      </c>
    </row>
    <row r="357" spans="1:4">
      <c r="A357" s="7" t="s">
        <v>145</v>
      </c>
      <c r="B357" s="8" t="s">
        <v>144</v>
      </c>
      <c r="C357" s="9">
        <v>42444</v>
      </c>
      <c r="D357" s="10">
        <v>675.89599999999996</v>
      </c>
    </row>
    <row r="358" spans="1:4">
      <c r="A358" s="7" t="s">
        <v>121</v>
      </c>
      <c r="B358" s="8" t="s">
        <v>120</v>
      </c>
      <c r="C358" s="9">
        <v>42444</v>
      </c>
      <c r="D358" s="10">
        <v>1680.0809999999999</v>
      </c>
    </row>
    <row r="359" spans="1:4">
      <c r="A359" s="7" t="s">
        <v>203</v>
      </c>
      <c r="B359" s="8" t="s">
        <v>202</v>
      </c>
      <c r="C359" s="9">
        <v>42444</v>
      </c>
      <c r="D359" s="10">
        <v>1795.125</v>
      </c>
    </row>
    <row r="360" spans="1:4">
      <c r="A360" s="7" t="s">
        <v>207</v>
      </c>
      <c r="B360" s="8" t="s">
        <v>206</v>
      </c>
      <c r="C360" s="9">
        <v>42444</v>
      </c>
      <c r="D360" s="10">
        <v>2575.4119999999998</v>
      </c>
    </row>
    <row r="361" spans="1:4">
      <c r="A361" s="7" t="s">
        <v>269</v>
      </c>
      <c r="B361" s="8" t="s">
        <v>268</v>
      </c>
      <c r="C361" s="9">
        <v>42444</v>
      </c>
      <c r="D361" s="10">
        <v>1700</v>
      </c>
    </row>
    <row r="362" spans="1:4">
      <c r="A362" s="7" t="s">
        <v>215</v>
      </c>
      <c r="B362" s="8" t="s">
        <v>214</v>
      </c>
      <c r="C362" s="9">
        <v>42444</v>
      </c>
      <c r="D362" s="10">
        <v>676.01499999999999</v>
      </c>
    </row>
    <row r="363" spans="1:4">
      <c r="A363" s="7" t="s">
        <v>179</v>
      </c>
      <c r="B363" s="8" t="s">
        <v>178</v>
      </c>
      <c r="C363" s="9">
        <v>42444</v>
      </c>
      <c r="D363" s="10">
        <v>700</v>
      </c>
    </row>
    <row r="364" spans="1:4">
      <c r="A364" s="7" t="s">
        <v>672</v>
      </c>
      <c r="B364" s="8" t="s">
        <v>673</v>
      </c>
      <c r="C364" s="9">
        <v>42444</v>
      </c>
      <c r="D364" s="10">
        <v>799.38800000000003</v>
      </c>
    </row>
    <row r="365" spans="1:4">
      <c r="A365" s="7" t="s">
        <v>729</v>
      </c>
      <c r="B365" s="8" t="s">
        <v>730</v>
      </c>
      <c r="C365" s="9">
        <v>42444</v>
      </c>
      <c r="D365" s="10">
        <v>1200</v>
      </c>
    </row>
    <row r="366" spans="1:4">
      <c r="A366" s="7" t="s">
        <v>580</v>
      </c>
      <c r="B366" s="8" t="s">
        <v>581</v>
      </c>
      <c r="C366" s="9">
        <v>42444</v>
      </c>
      <c r="D366" s="10">
        <v>1986.36</v>
      </c>
    </row>
    <row r="367" spans="1:4">
      <c r="A367" s="7" t="s">
        <v>63</v>
      </c>
      <c r="B367" s="8" t="s">
        <v>62</v>
      </c>
      <c r="C367" s="9">
        <v>42444</v>
      </c>
      <c r="D367" s="10">
        <v>2000</v>
      </c>
    </row>
    <row r="368" spans="1:4">
      <c r="A368" s="7" t="s">
        <v>69</v>
      </c>
      <c r="B368" s="8" t="s">
        <v>68</v>
      </c>
      <c r="C368" s="9">
        <v>42444</v>
      </c>
      <c r="D368" s="10">
        <v>1377.2260000000001</v>
      </c>
    </row>
    <row r="369" spans="1:4">
      <c r="A369" s="7" t="s">
        <v>73</v>
      </c>
      <c r="B369" s="8" t="s">
        <v>72</v>
      </c>
      <c r="C369" s="9">
        <v>42444</v>
      </c>
      <c r="D369" s="10">
        <v>750</v>
      </c>
    </row>
    <row r="370" spans="1:4">
      <c r="A370" s="7" t="s">
        <v>57</v>
      </c>
      <c r="B370" s="8" t="s">
        <v>56</v>
      </c>
      <c r="C370" s="9">
        <v>42444</v>
      </c>
      <c r="D370" s="10">
        <v>2825.748</v>
      </c>
    </row>
    <row r="371" spans="1:4">
      <c r="A371" s="7" t="s">
        <v>35</v>
      </c>
      <c r="B371" s="8" t="s">
        <v>34</v>
      </c>
      <c r="C371" s="9">
        <v>42444</v>
      </c>
      <c r="D371" s="10">
        <v>1600</v>
      </c>
    </row>
    <row r="372" spans="1:4">
      <c r="A372" s="7" t="s">
        <v>15</v>
      </c>
      <c r="B372" s="8" t="s">
        <v>14</v>
      </c>
      <c r="C372" s="9">
        <v>42444</v>
      </c>
      <c r="D372" s="10">
        <v>4300</v>
      </c>
    </row>
    <row r="373" spans="1:4">
      <c r="A373" s="7" t="s">
        <v>281</v>
      </c>
      <c r="B373" s="8" t="s">
        <v>280</v>
      </c>
      <c r="C373" s="9">
        <v>42444</v>
      </c>
      <c r="D373" s="10">
        <v>430.91800000000001</v>
      </c>
    </row>
    <row r="374" spans="1:4">
      <c r="A374" s="7" t="s">
        <v>602</v>
      </c>
      <c r="B374" s="8" t="s">
        <v>603</v>
      </c>
      <c r="C374" s="9">
        <v>42444</v>
      </c>
      <c r="D374" s="10">
        <v>1290</v>
      </c>
    </row>
    <row r="375" spans="1:4">
      <c r="A375" s="7" t="s">
        <v>225</v>
      </c>
      <c r="B375" s="8" t="s">
        <v>224</v>
      </c>
      <c r="C375" s="9">
        <v>42444</v>
      </c>
      <c r="D375" s="10">
        <v>640</v>
      </c>
    </row>
    <row r="376" spans="1:4">
      <c r="A376" s="7" t="s">
        <v>235</v>
      </c>
      <c r="B376" s="8" t="s">
        <v>234</v>
      </c>
      <c r="C376" s="9">
        <v>42444</v>
      </c>
      <c r="D376" s="10">
        <v>1649.4880000000001</v>
      </c>
    </row>
    <row r="377" spans="1:4">
      <c r="A377" s="7" t="s">
        <v>89</v>
      </c>
      <c r="B377" s="8" t="s">
        <v>88</v>
      </c>
      <c r="C377" s="9">
        <v>42444</v>
      </c>
      <c r="D377" s="10">
        <v>1121.164</v>
      </c>
    </row>
    <row r="378" spans="1:4">
      <c r="A378" s="7" t="s">
        <v>327</v>
      </c>
      <c r="B378" s="8" t="s">
        <v>326</v>
      </c>
      <c r="C378" s="9">
        <v>42444</v>
      </c>
      <c r="D378" s="10">
        <v>925.97199999999998</v>
      </c>
    </row>
    <row r="379" spans="1:4">
      <c r="A379" s="7" t="s">
        <v>794</v>
      </c>
      <c r="B379" s="8" t="s">
        <v>795</v>
      </c>
      <c r="C379" s="9">
        <v>42444</v>
      </c>
      <c r="D379" s="10">
        <v>970.27700000000004</v>
      </c>
    </row>
    <row r="380" spans="1:4">
      <c r="A380" s="7" t="s">
        <v>403</v>
      </c>
      <c r="B380" s="8" t="s">
        <v>402</v>
      </c>
      <c r="C380" s="9">
        <v>42444</v>
      </c>
      <c r="D380" s="10">
        <v>3873.9490000000001</v>
      </c>
    </row>
    <row r="381" spans="1:4">
      <c r="A381" s="7" t="s">
        <v>95</v>
      </c>
      <c r="B381" s="8" t="s">
        <v>94</v>
      </c>
      <c r="C381" s="9">
        <v>42444</v>
      </c>
      <c r="D381" s="10">
        <v>887.17</v>
      </c>
    </row>
    <row r="382" spans="1:4">
      <c r="A382" s="7" t="s">
        <v>323</v>
      </c>
      <c r="B382" s="8" t="s">
        <v>322</v>
      </c>
      <c r="C382" s="9">
        <v>42444</v>
      </c>
      <c r="D382" s="10">
        <v>3000</v>
      </c>
    </row>
    <row r="383" spans="1:4">
      <c r="A383" s="7" t="s">
        <v>317</v>
      </c>
      <c r="B383" s="8" t="s">
        <v>316</v>
      </c>
      <c r="C383" s="9">
        <v>42444</v>
      </c>
      <c r="D383" s="10">
        <v>729.37400000000002</v>
      </c>
    </row>
    <row r="384" spans="1:4">
      <c r="A384" s="7" t="s">
        <v>670</v>
      </c>
      <c r="B384" s="8" t="s">
        <v>671</v>
      </c>
      <c r="C384" s="9">
        <v>42444</v>
      </c>
      <c r="D384" s="10">
        <v>243.30799999999999</v>
      </c>
    </row>
    <row r="385" spans="1:4">
      <c r="A385" s="7" t="s">
        <v>381</v>
      </c>
      <c r="B385" s="8" t="s">
        <v>380</v>
      </c>
      <c r="C385" s="9">
        <v>42444</v>
      </c>
      <c r="D385" s="10">
        <v>564.36400000000003</v>
      </c>
    </row>
    <row r="386" spans="1:4">
      <c r="A386" s="7" t="s">
        <v>239</v>
      </c>
      <c r="B386" s="8" t="s">
        <v>238</v>
      </c>
      <c r="C386" s="9">
        <v>42444</v>
      </c>
      <c r="D386" s="10">
        <v>1211.6279999999999</v>
      </c>
    </row>
    <row r="387" spans="1:4">
      <c r="A387" s="7" t="s">
        <v>582</v>
      </c>
      <c r="B387" s="8" t="s">
        <v>583</v>
      </c>
      <c r="C387" s="9">
        <v>42446</v>
      </c>
      <c r="D387" s="10">
        <v>1019.4109999999999</v>
      </c>
    </row>
    <row r="388" spans="1:4">
      <c r="A388" s="7" t="s">
        <v>85</v>
      </c>
      <c r="B388" s="8" t="s">
        <v>84</v>
      </c>
      <c r="C388" s="9">
        <v>42446</v>
      </c>
      <c r="D388" s="10">
        <v>1815</v>
      </c>
    </row>
    <row r="389" spans="1:4">
      <c r="A389" s="7" t="s">
        <v>243</v>
      </c>
      <c r="B389" s="8" t="s">
        <v>242</v>
      </c>
      <c r="C389" s="9">
        <v>42446</v>
      </c>
      <c r="D389" s="10">
        <v>4000</v>
      </c>
    </row>
    <row r="390" spans="1:4">
      <c r="A390" s="7" t="s">
        <v>349</v>
      </c>
      <c r="B390" s="8" t="s">
        <v>348</v>
      </c>
      <c r="C390" s="9">
        <v>42446</v>
      </c>
      <c r="D390" s="10">
        <v>1200</v>
      </c>
    </row>
    <row r="391" spans="1:4">
      <c r="A391" s="7" t="s">
        <v>19</v>
      </c>
      <c r="B391" s="8" t="s">
        <v>18</v>
      </c>
      <c r="C391" s="9">
        <v>42446</v>
      </c>
      <c r="D391" s="10">
        <v>3500</v>
      </c>
    </row>
    <row r="392" spans="1:4">
      <c r="A392" s="7" t="s">
        <v>93</v>
      </c>
      <c r="B392" s="8" t="s">
        <v>92</v>
      </c>
      <c r="C392" s="9">
        <v>42446</v>
      </c>
      <c r="D392" s="10">
        <v>830.8</v>
      </c>
    </row>
    <row r="393" spans="1:4">
      <c r="A393" s="7" t="s">
        <v>305</v>
      </c>
      <c r="B393" s="8" t="s">
        <v>304</v>
      </c>
      <c r="C393" s="9">
        <v>42447</v>
      </c>
      <c r="D393" s="10">
        <v>485.827</v>
      </c>
    </row>
    <row r="394" spans="1:4">
      <c r="A394" s="7" t="s">
        <v>343</v>
      </c>
      <c r="B394" s="8" t="s">
        <v>342</v>
      </c>
      <c r="C394" s="9">
        <v>42447</v>
      </c>
      <c r="D394" s="10">
        <v>5341.9380000000001</v>
      </c>
    </row>
    <row r="395" spans="1:4">
      <c r="A395" s="7" t="s">
        <v>796</v>
      </c>
      <c r="B395" s="8" t="s">
        <v>797</v>
      </c>
      <c r="C395" s="9">
        <v>42447</v>
      </c>
      <c r="D395" s="10">
        <v>4179.5020000000004</v>
      </c>
    </row>
    <row r="396" spans="1:4">
      <c r="A396" s="7" t="s">
        <v>604</v>
      </c>
      <c r="B396" s="8" t="s">
        <v>605</v>
      </c>
      <c r="C396" s="9">
        <v>42448</v>
      </c>
      <c r="D396" s="10">
        <v>2500</v>
      </c>
    </row>
    <row r="397" spans="1:4">
      <c r="A397" s="7" t="s">
        <v>299</v>
      </c>
      <c r="B397" s="8" t="s">
        <v>298</v>
      </c>
      <c r="C397" s="9">
        <v>42448</v>
      </c>
      <c r="D397" s="10">
        <v>468.20400000000001</v>
      </c>
    </row>
    <row r="398" spans="1:4">
      <c r="A398" s="7" t="s">
        <v>119</v>
      </c>
      <c r="B398" s="8" t="s">
        <v>118</v>
      </c>
      <c r="C398" s="9">
        <v>42448</v>
      </c>
      <c r="D398" s="10">
        <v>2143.9899999999998</v>
      </c>
    </row>
    <row r="399" spans="1:4">
      <c r="A399" s="7" t="s">
        <v>113</v>
      </c>
      <c r="B399" s="8" t="s">
        <v>112</v>
      </c>
      <c r="C399" s="9">
        <v>42449</v>
      </c>
      <c r="D399" s="10">
        <v>2500</v>
      </c>
    </row>
    <row r="400" spans="1:4">
      <c r="A400" s="7" t="s">
        <v>113</v>
      </c>
      <c r="B400" s="8" t="s">
        <v>112</v>
      </c>
      <c r="C400" s="9">
        <v>42449</v>
      </c>
      <c r="D400" s="10">
        <v>1000</v>
      </c>
    </row>
    <row r="401" spans="1:4">
      <c r="A401" s="7" t="s">
        <v>145</v>
      </c>
      <c r="B401" s="8" t="s">
        <v>144</v>
      </c>
      <c r="C401" s="9">
        <v>42449</v>
      </c>
      <c r="D401" s="10">
        <v>685.44399999999996</v>
      </c>
    </row>
    <row r="402" spans="1:4">
      <c r="A402" s="7" t="s">
        <v>626</v>
      </c>
      <c r="B402" s="8" t="s">
        <v>627</v>
      </c>
      <c r="C402" s="9">
        <v>42449</v>
      </c>
      <c r="D402" s="10">
        <v>521</v>
      </c>
    </row>
    <row r="403" spans="1:4">
      <c r="A403" s="7" t="s">
        <v>415</v>
      </c>
      <c r="B403" s="8" t="s">
        <v>414</v>
      </c>
      <c r="C403" s="9">
        <v>42449</v>
      </c>
      <c r="D403" s="10">
        <v>400</v>
      </c>
    </row>
    <row r="404" spans="1:4">
      <c r="A404" s="7" t="s">
        <v>289</v>
      </c>
      <c r="B404" s="8" t="s">
        <v>288</v>
      </c>
      <c r="C404" s="9">
        <v>42449</v>
      </c>
      <c r="D404" s="10">
        <v>2487.8359999999998</v>
      </c>
    </row>
    <row r="405" spans="1:4">
      <c r="A405" s="7" t="s">
        <v>73</v>
      </c>
      <c r="B405" s="8" t="s">
        <v>72</v>
      </c>
      <c r="C405" s="9">
        <v>42449</v>
      </c>
      <c r="D405" s="10">
        <v>355.77699999999999</v>
      </c>
    </row>
    <row r="406" spans="1:4">
      <c r="A406" s="7" t="s">
        <v>259</v>
      </c>
      <c r="B406" s="8" t="s">
        <v>258</v>
      </c>
      <c r="C406" s="9">
        <v>42449</v>
      </c>
      <c r="D406" s="10">
        <v>2026.35</v>
      </c>
    </row>
    <row r="407" spans="1:4">
      <c r="A407" s="7" t="s">
        <v>47</v>
      </c>
      <c r="B407" s="8" t="s">
        <v>46</v>
      </c>
      <c r="C407" s="9">
        <v>42449</v>
      </c>
      <c r="D407" s="10">
        <v>705.78399999999999</v>
      </c>
    </row>
    <row r="408" spans="1:4">
      <c r="A408" s="7" t="s">
        <v>165</v>
      </c>
      <c r="B408" s="8" t="s">
        <v>164</v>
      </c>
      <c r="C408" s="9">
        <v>42449</v>
      </c>
      <c r="D408" s="10">
        <v>766.20399999999995</v>
      </c>
    </row>
    <row r="409" spans="1:4">
      <c r="A409" s="7" t="s">
        <v>29</v>
      </c>
      <c r="B409" s="8" t="s">
        <v>28</v>
      </c>
      <c r="C409" s="9">
        <v>42449</v>
      </c>
      <c r="D409" s="10">
        <v>2000</v>
      </c>
    </row>
    <row r="410" spans="1:4">
      <c r="A410" s="7" t="s">
        <v>31</v>
      </c>
      <c r="B410" s="8" t="s">
        <v>30</v>
      </c>
      <c r="C410" s="9">
        <v>42449</v>
      </c>
      <c r="D410" s="10">
        <v>650</v>
      </c>
    </row>
    <row r="411" spans="1:4">
      <c r="A411" s="7" t="s">
        <v>225</v>
      </c>
      <c r="B411" s="8" t="s">
        <v>224</v>
      </c>
      <c r="C411" s="9">
        <v>42449</v>
      </c>
      <c r="D411" s="10">
        <v>655</v>
      </c>
    </row>
    <row r="412" spans="1:4">
      <c r="A412" s="7" t="s">
        <v>293</v>
      </c>
      <c r="B412" s="8" t="s">
        <v>292</v>
      </c>
      <c r="C412" s="9">
        <v>42449</v>
      </c>
      <c r="D412" s="10">
        <v>1145.752</v>
      </c>
    </row>
    <row r="413" spans="1:4">
      <c r="A413" s="7" t="s">
        <v>201</v>
      </c>
      <c r="B413" s="8" t="s">
        <v>200</v>
      </c>
      <c r="C413" s="9">
        <v>42449</v>
      </c>
      <c r="D413" s="10">
        <v>358.48399999999998</v>
      </c>
    </row>
    <row r="414" spans="1:4">
      <c r="A414" s="7" t="s">
        <v>229</v>
      </c>
      <c r="B414" s="8" t="s">
        <v>228</v>
      </c>
      <c r="C414" s="9">
        <v>42449</v>
      </c>
      <c r="D414" s="10">
        <v>350</v>
      </c>
    </row>
    <row r="415" spans="1:4">
      <c r="A415" s="7" t="s">
        <v>325</v>
      </c>
      <c r="B415" s="8" t="s">
        <v>324</v>
      </c>
      <c r="C415" s="9">
        <v>42449</v>
      </c>
      <c r="D415" s="10">
        <v>406.46699999999998</v>
      </c>
    </row>
    <row r="416" spans="1:4">
      <c r="A416" s="7" t="s">
        <v>367</v>
      </c>
      <c r="B416" s="8" t="s">
        <v>366</v>
      </c>
      <c r="C416" s="9">
        <v>42449</v>
      </c>
      <c r="D416" s="10">
        <v>2000</v>
      </c>
    </row>
    <row r="417" spans="1:4">
      <c r="A417" s="7" t="s">
        <v>95</v>
      </c>
      <c r="B417" s="8" t="s">
        <v>94</v>
      </c>
      <c r="C417" s="9">
        <v>42449</v>
      </c>
      <c r="D417" s="10">
        <v>887.17</v>
      </c>
    </row>
    <row r="418" spans="1:4">
      <c r="A418" s="7" t="s">
        <v>171</v>
      </c>
      <c r="B418" s="8" t="s">
        <v>170</v>
      </c>
      <c r="C418" s="9">
        <v>42449</v>
      </c>
      <c r="D418" s="10">
        <v>200</v>
      </c>
    </row>
    <row r="419" spans="1:4">
      <c r="A419" s="7" t="s">
        <v>261</v>
      </c>
      <c r="B419" s="8" t="s">
        <v>260</v>
      </c>
      <c r="C419" s="9">
        <v>42449</v>
      </c>
      <c r="D419" s="10">
        <v>318.47199999999998</v>
      </c>
    </row>
    <row r="420" spans="1:4">
      <c r="A420" s="7" t="s">
        <v>49</v>
      </c>
      <c r="B420" s="8" t="s">
        <v>48</v>
      </c>
      <c r="C420" s="9">
        <v>42449</v>
      </c>
      <c r="D420" s="10">
        <v>423</v>
      </c>
    </row>
    <row r="421" spans="1:4">
      <c r="A421" s="7" t="s">
        <v>275</v>
      </c>
      <c r="B421" s="8" t="s">
        <v>274</v>
      </c>
      <c r="C421" s="9">
        <v>42449</v>
      </c>
      <c r="D421" s="10">
        <v>912</v>
      </c>
    </row>
    <row r="422" spans="1:4">
      <c r="A422" s="7" t="s">
        <v>798</v>
      </c>
      <c r="B422" s="8" t="s">
        <v>799</v>
      </c>
      <c r="C422" s="9">
        <v>42449</v>
      </c>
      <c r="D422" s="10">
        <v>1010.545</v>
      </c>
    </row>
    <row r="423" spans="1:4">
      <c r="A423" s="7" t="s">
        <v>245</v>
      </c>
      <c r="B423" s="8" t="s">
        <v>244</v>
      </c>
      <c r="C423" s="9">
        <v>42450</v>
      </c>
      <c r="D423" s="10">
        <v>1877.59</v>
      </c>
    </row>
    <row r="424" spans="1:4">
      <c r="A424" s="7" t="s">
        <v>594</v>
      </c>
      <c r="B424" s="8" t="s">
        <v>595</v>
      </c>
      <c r="C424" s="9">
        <v>42450</v>
      </c>
      <c r="D424" s="10">
        <v>2790.2170000000001</v>
      </c>
    </row>
    <row r="425" spans="1:4">
      <c r="A425" s="7" t="s">
        <v>634</v>
      </c>
      <c r="B425" s="8" t="s">
        <v>635</v>
      </c>
      <c r="C425" s="9">
        <v>42450</v>
      </c>
      <c r="D425" s="10">
        <v>3000</v>
      </c>
    </row>
    <row r="426" spans="1:4">
      <c r="A426" s="7" t="s">
        <v>299</v>
      </c>
      <c r="B426" s="8" t="s">
        <v>298</v>
      </c>
      <c r="C426" s="9">
        <v>42450</v>
      </c>
      <c r="D426" s="10">
        <v>553.75</v>
      </c>
    </row>
    <row r="427" spans="1:4">
      <c r="A427" s="7" t="s">
        <v>413</v>
      </c>
      <c r="B427" s="8" t="s">
        <v>412</v>
      </c>
      <c r="C427" s="9">
        <v>42451</v>
      </c>
      <c r="D427" s="10">
        <v>669.84900000000005</v>
      </c>
    </row>
    <row r="428" spans="1:4">
      <c r="A428" s="7" t="s">
        <v>227</v>
      </c>
      <c r="B428" s="8" t="s">
        <v>226</v>
      </c>
      <c r="C428" s="9">
        <v>42451</v>
      </c>
      <c r="D428" s="10">
        <v>1330</v>
      </c>
    </row>
    <row r="429" spans="1:4">
      <c r="A429" s="7" t="s">
        <v>590</v>
      </c>
      <c r="B429" s="8" t="s">
        <v>591</v>
      </c>
      <c r="C429" s="9">
        <v>42451</v>
      </c>
      <c r="D429" s="10">
        <v>1440</v>
      </c>
    </row>
    <row r="430" spans="1:4">
      <c r="A430" s="7" t="s">
        <v>93</v>
      </c>
      <c r="B430" s="8" t="s">
        <v>92</v>
      </c>
      <c r="C430" s="9">
        <v>42451</v>
      </c>
      <c r="D430" s="10">
        <v>830.8</v>
      </c>
    </row>
    <row r="431" spans="1:4">
      <c r="A431" s="7" t="s">
        <v>281</v>
      </c>
      <c r="B431" s="8" t="s">
        <v>280</v>
      </c>
      <c r="C431" s="9">
        <v>42451</v>
      </c>
      <c r="D431" s="10">
        <v>400</v>
      </c>
    </row>
    <row r="432" spans="1:4">
      <c r="A432" s="7" t="s">
        <v>604</v>
      </c>
      <c r="B432" s="8" t="s">
        <v>605</v>
      </c>
      <c r="C432" s="9">
        <v>42452</v>
      </c>
      <c r="D432" s="10">
        <v>2500</v>
      </c>
    </row>
    <row r="433" spans="1:4">
      <c r="A433" s="7" t="s">
        <v>630</v>
      </c>
      <c r="B433" s="8" t="s">
        <v>631</v>
      </c>
      <c r="C433" s="9">
        <v>42452</v>
      </c>
      <c r="D433" s="10">
        <v>649.79200000000003</v>
      </c>
    </row>
    <row r="434" spans="1:4">
      <c r="A434" s="7" t="s">
        <v>668</v>
      </c>
      <c r="B434" s="8" t="s">
        <v>669</v>
      </c>
      <c r="C434" s="9">
        <v>42452</v>
      </c>
      <c r="D434" s="10">
        <v>1100</v>
      </c>
    </row>
    <row r="435" spans="1:4">
      <c r="A435" s="7" t="s">
        <v>85</v>
      </c>
      <c r="B435" s="8" t="s">
        <v>84</v>
      </c>
      <c r="C435" s="9">
        <v>42452</v>
      </c>
      <c r="D435" s="10">
        <v>1815</v>
      </c>
    </row>
    <row r="436" spans="1:4">
      <c r="A436" s="7" t="s">
        <v>287</v>
      </c>
      <c r="B436" s="8" t="s">
        <v>286</v>
      </c>
      <c r="C436" s="9">
        <v>42452</v>
      </c>
      <c r="D436" s="10">
        <v>1210.971</v>
      </c>
    </row>
    <row r="437" spans="1:4">
      <c r="A437" s="7" t="s">
        <v>303</v>
      </c>
      <c r="B437" s="8" t="s">
        <v>302</v>
      </c>
      <c r="C437" s="9">
        <v>42452</v>
      </c>
      <c r="D437" s="10">
        <v>1261.03</v>
      </c>
    </row>
    <row r="438" spans="1:4">
      <c r="A438" s="7" t="s">
        <v>363</v>
      </c>
      <c r="B438" s="8" t="s">
        <v>362</v>
      </c>
      <c r="C438" s="9">
        <v>42453</v>
      </c>
      <c r="D438" s="10">
        <v>427.745</v>
      </c>
    </row>
    <row r="439" spans="1:4">
      <c r="A439" s="7" t="s">
        <v>349</v>
      </c>
      <c r="B439" s="8" t="s">
        <v>348</v>
      </c>
      <c r="C439" s="9">
        <v>42453</v>
      </c>
      <c r="D439" s="10">
        <v>1220.2470000000001</v>
      </c>
    </row>
    <row r="440" spans="1:4">
      <c r="A440" s="7" t="s">
        <v>305</v>
      </c>
      <c r="B440" s="8" t="s">
        <v>304</v>
      </c>
      <c r="C440" s="9">
        <v>42453</v>
      </c>
      <c r="D440" s="10">
        <v>997.51499999999999</v>
      </c>
    </row>
    <row r="441" spans="1:4">
      <c r="A441" s="7" t="s">
        <v>113</v>
      </c>
      <c r="B441" s="8" t="s">
        <v>112</v>
      </c>
      <c r="C441" s="9">
        <v>42454</v>
      </c>
      <c r="D441" s="10">
        <v>3650</v>
      </c>
    </row>
    <row r="442" spans="1:4">
      <c r="A442" s="7" t="s">
        <v>145</v>
      </c>
      <c r="B442" s="8" t="s">
        <v>144</v>
      </c>
      <c r="C442" s="9">
        <v>42454</v>
      </c>
      <c r="D442" s="10">
        <v>550</v>
      </c>
    </row>
    <row r="443" spans="1:4">
      <c r="A443" s="7" t="s">
        <v>269</v>
      </c>
      <c r="B443" s="8" t="s">
        <v>268</v>
      </c>
      <c r="C443" s="9">
        <v>42454</v>
      </c>
      <c r="D443" s="10">
        <v>1700</v>
      </c>
    </row>
    <row r="444" spans="1:4">
      <c r="A444" s="7" t="s">
        <v>83</v>
      </c>
      <c r="B444" s="8" t="s">
        <v>82</v>
      </c>
      <c r="C444" s="9">
        <v>42454</v>
      </c>
      <c r="D444" s="10">
        <v>3000</v>
      </c>
    </row>
    <row r="445" spans="1:4">
      <c r="A445" s="7" t="s">
        <v>243</v>
      </c>
      <c r="B445" s="8" t="s">
        <v>242</v>
      </c>
      <c r="C445" s="9">
        <v>42454</v>
      </c>
      <c r="D445" s="10">
        <v>3000</v>
      </c>
    </row>
    <row r="446" spans="1:4">
      <c r="A446" s="7" t="s">
        <v>73</v>
      </c>
      <c r="B446" s="8" t="s">
        <v>72</v>
      </c>
      <c r="C446" s="9">
        <v>42454</v>
      </c>
      <c r="D446" s="10">
        <v>750</v>
      </c>
    </row>
    <row r="447" spans="1:4">
      <c r="A447" s="7" t="s">
        <v>393</v>
      </c>
      <c r="B447" s="8" t="s">
        <v>392</v>
      </c>
      <c r="C447" s="9">
        <v>42454</v>
      </c>
      <c r="D447" s="10">
        <v>1000</v>
      </c>
    </row>
    <row r="448" spans="1:4">
      <c r="A448" s="7" t="s">
        <v>29</v>
      </c>
      <c r="B448" s="8" t="s">
        <v>28</v>
      </c>
      <c r="C448" s="9">
        <v>42454</v>
      </c>
      <c r="D448" s="10">
        <v>2000</v>
      </c>
    </row>
    <row r="449" spans="1:4">
      <c r="A449" s="7" t="s">
        <v>23</v>
      </c>
      <c r="B449" s="8" t="s">
        <v>22</v>
      </c>
      <c r="C449" s="9">
        <v>42454</v>
      </c>
      <c r="D449" s="10">
        <v>1248.3440000000001</v>
      </c>
    </row>
    <row r="450" spans="1:4">
      <c r="A450" s="7" t="s">
        <v>21</v>
      </c>
      <c r="B450" s="8" t="s">
        <v>20</v>
      </c>
      <c r="C450" s="9">
        <v>42454</v>
      </c>
      <c r="D450" s="10">
        <v>2700</v>
      </c>
    </row>
    <row r="451" spans="1:4">
      <c r="A451" s="7" t="s">
        <v>307</v>
      </c>
      <c r="B451" s="8" t="s">
        <v>306</v>
      </c>
      <c r="C451" s="9">
        <v>42454</v>
      </c>
      <c r="D451" s="10">
        <v>2500</v>
      </c>
    </row>
    <row r="452" spans="1:4">
      <c r="A452" s="7" t="s">
        <v>17</v>
      </c>
      <c r="B452" s="8" t="s">
        <v>16</v>
      </c>
      <c r="C452" s="9">
        <v>42454</v>
      </c>
      <c r="D452" s="10">
        <v>2317.2130000000002</v>
      </c>
    </row>
    <row r="453" spans="1:4">
      <c r="A453" s="7" t="s">
        <v>225</v>
      </c>
      <c r="B453" s="8" t="s">
        <v>224</v>
      </c>
      <c r="C453" s="9">
        <v>42454</v>
      </c>
      <c r="D453" s="10">
        <v>646.67399999999998</v>
      </c>
    </row>
    <row r="454" spans="1:4">
      <c r="A454" s="7" t="s">
        <v>407</v>
      </c>
      <c r="B454" s="8" t="s">
        <v>406</v>
      </c>
      <c r="C454" s="9">
        <v>42454</v>
      </c>
      <c r="D454" s="10">
        <v>1364.3440000000001</v>
      </c>
    </row>
    <row r="455" spans="1:4">
      <c r="A455" s="7" t="s">
        <v>95</v>
      </c>
      <c r="B455" s="8" t="s">
        <v>94</v>
      </c>
      <c r="C455" s="9">
        <v>42454</v>
      </c>
      <c r="D455" s="10">
        <v>887.17</v>
      </c>
    </row>
    <row r="456" spans="1:4">
      <c r="A456" s="7" t="s">
        <v>193</v>
      </c>
      <c r="B456" s="8" t="s">
        <v>192</v>
      </c>
      <c r="C456" s="9">
        <v>42454</v>
      </c>
      <c r="D456" s="10">
        <v>611.94600000000003</v>
      </c>
    </row>
    <row r="457" spans="1:4">
      <c r="A457" s="7" t="s">
        <v>115</v>
      </c>
      <c r="B457" s="8" t="s">
        <v>114</v>
      </c>
      <c r="C457" s="9">
        <v>42454</v>
      </c>
      <c r="D457" s="10">
        <v>3000</v>
      </c>
    </row>
    <row r="458" spans="1:4">
      <c r="A458" s="7" t="s">
        <v>119</v>
      </c>
      <c r="B458" s="8" t="s">
        <v>118</v>
      </c>
      <c r="C458" s="9">
        <v>42454</v>
      </c>
      <c r="D458" s="10">
        <v>4000</v>
      </c>
    </row>
    <row r="459" spans="1:4">
      <c r="A459" s="7" t="s">
        <v>77</v>
      </c>
      <c r="B459" s="8" t="s">
        <v>76</v>
      </c>
      <c r="C459" s="9">
        <v>42454</v>
      </c>
      <c r="D459" s="10">
        <v>1200</v>
      </c>
    </row>
    <row r="460" spans="1:4">
      <c r="A460" s="7" t="s">
        <v>628</v>
      </c>
      <c r="B460" s="8" t="s">
        <v>629</v>
      </c>
      <c r="C460" s="9">
        <v>42454</v>
      </c>
      <c r="D460" s="10">
        <v>3281.3620000000001</v>
      </c>
    </row>
    <row r="461" spans="1:4">
      <c r="A461" s="7" t="s">
        <v>313</v>
      </c>
      <c r="B461" s="8" t="s">
        <v>312</v>
      </c>
      <c r="C461" s="9">
        <v>42454</v>
      </c>
      <c r="D461" s="10">
        <v>525.41399999999999</v>
      </c>
    </row>
    <row r="462" spans="1:4">
      <c r="A462" s="7" t="s">
        <v>275</v>
      </c>
      <c r="B462" s="8" t="s">
        <v>274</v>
      </c>
      <c r="C462" s="9">
        <v>42454</v>
      </c>
      <c r="D462" s="10">
        <v>1100</v>
      </c>
    </row>
    <row r="463" spans="1:4">
      <c r="A463" s="7" t="s">
        <v>341</v>
      </c>
      <c r="B463" s="8" t="s">
        <v>340</v>
      </c>
      <c r="C463" s="9">
        <v>42455</v>
      </c>
      <c r="D463" s="10">
        <v>2090.6849999999999</v>
      </c>
    </row>
    <row r="464" spans="1:4">
      <c r="A464" s="7" t="s">
        <v>93</v>
      </c>
      <c r="B464" s="8" t="s">
        <v>92</v>
      </c>
      <c r="C464" s="9">
        <v>42455</v>
      </c>
      <c r="D464" s="10">
        <v>830.8</v>
      </c>
    </row>
    <row r="465" spans="1:4">
      <c r="A465" s="7" t="s">
        <v>245</v>
      </c>
      <c r="B465" s="8" t="s">
        <v>244</v>
      </c>
      <c r="C465" s="9">
        <v>42456</v>
      </c>
      <c r="D465" s="10">
        <v>1877.5909999999999</v>
      </c>
    </row>
    <row r="466" spans="1:4">
      <c r="A466" s="7" t="s">
        <v>630</v>
      </c>
      <c r="B466" s="8" t="s">
        <v>631</v>
      </c>
      <c r="C466" s="9">
        <v>42456</v>
      </c>
      <c r="D466" s="10">
        <v>600</v>
      </c>
    </row>
    <row r="467" spans="1:4">
      <c r="A467" s="7" t="s">
        <v>249</v>
      </c>
      <c r="B467" s="8" t="s">
        <v>248</v>
      </c>
      <c r="C467" s="9">
        <v>42456</v>
      </c>
      <c r="D467" s="10">
        <v>3000</v>
      </c>
    </row>
    <row r="468" spans="1:4">
      <c r="A468" s="7" t="s">
        <v>229</v>
      </c>
      <c r="B468" s="8" t="s">
        <v>228</v>
      </c>
      <c r="C468" s="9">
        <v>42456</v>
      </c>
      <c r="D468" s="10">
        <v>369.262</v>
      </c>
    </row>
    <row r="469" spans="1:4">
      <c r="A469" s="7" t="s">
        <v>221</v>
      </c>
      <c r="B469" s="8" t="s">
        <v>220</v>
      </c>
      <c r="C469" s="9">
        <v>42457</v>
      </c>
      <c r="D469" s="10">
        <v>1431.5060000000001</v>
      </c>
    </row>
    <row r="470" spans="1:4">
      <c r="A470" s="7" t="s">
        <v>727</v>
      </c>
      <c r="B470" s="8" t="s">
        <v>728</v>
      </c>
      <c r="C470" s="9">
        <v>42457</v>
      </c>
      <c r="D470" s="10">
        <v>262.00400000000002</v>
      </c>
    </row>
    <row r="471" spans="1:4">
      <c r="A471" s="7" t="s">
        <v>261</v>
      </c>
      <c r="B471" s="8" t="s">
        <v>260</v>
      </c>
      <c r="C471" s="9">
        <v>42457</v>
      </c>
      <c r="D471" s="10">
        <v>1333.502</v>
      </c>
    </row>
    <row r="472" spans="1:4">
      <c r="A472" s="7" t="s">
        <v>227</v>
      </c>
      <c r="B472" s="8" t="s">
        <v>226</v>
      </c>
      <c r="C472" s="9">
        <v>42457</v>
      </c>
      <c r="D472" s="10">
        <v>1340</v>
      </c>
    </row>
    <row r="473" spans="1:4">
      <c r="A473" s="7" t="s">
        <v>217</v>
      </c>
      <c r="B473" s="8" t="s">
        <v>216</v>
      </c>
      <c r="C473" s="9">
        <v>42457</v>
      </c>
      <c r="D473" s="10">
        <v>1415.202</v>
      </c>
    </row>
    <row r="474" spans="1:4">
      <c r="A474" s="7" t="s">
        <v>267</v>
      </c>
      <c r="B474" s="8" t="s">
        <v>266</v>
      </c>
      <c r="C474" s="9">
        <v>42457</v>
      </c>
      <c r="D474" s="10">
        <v>437.94499999999999</v>
      </c>
    </row>
    <row r="475" spans="1:4">
      <c r="A475" s="7" t="s">
        <v>271</v>
      </c>
      <c r="B475" s="8" t="s">
        <v>270</v>
      </c>
      <c r="C475" s="9">
        <v>42457</v>
      </c>
      <c r="D475" s="10">
        <v>810.30399999999997</v>
      </c>
    </row>
    <row r="476" spans="1:4">
      <c r="A476" s="7" t="s">
        <v>800</v>
      </c>
      <c r="B476" s="8" t="s">
        <v>801</v>
      </c>
      <c r="C476" s="9">
        <v>42457</v>
      </c>
      <c r="D476" s="10">
        <v>1450.6780000000001</v>
      </c>
    </row>
    <row r="477" spans="1:4">
      <c r="A477" s="7" t="s">
        <v>247</v>
      </c>
      <c r="B477" s="8" t="s">
        <v>246</v>
      </c>
      <c r="C477" s="9">
        <v>42458</v>
      </c>
      <c r="D477" s="10">
        <v>1063.557</v>
      </c>
    </row>
    <row r="478" spans="1:4">
      <c r="A478" s="7" t="s">
        <v>113</v>
      </c>
      <c r="B478" s="8" t="s">
        <v>112</v>
      </c>
      <c r="C478" s="9">
        <v>42459</v>
      </c>
      <c r="D478" s="10">
        <v>1600</v>
      </c>
    </row>
    <row r="479" spans="1:4">
      <c r="A479" s="7" t="s">
        <v>297</v>
      </c>
      <c r="B479" s="8" t="s">
        <v>296</v>
      </c>
      <c r="C479" s="9">
        <v>42459</v>
      </c>
      <c r="D479" s="10">
        <v>834.29899999999998</v>
      </c>
    </row>
    <row r="480" spans="1:4">
      <c r="A480" s="7" t="s">
        <v>207</v>
      </c>
      <c r="B480" s="8" t="s">
        <v>206</v>
      </c>
      <c r="C480" s="9">
        <v>42459</v>
      </c>
      <c r="D480" s="10">
        <v>2575.4119999999998</v>
      </c>
    </row>
    <row r="481" spans="1:4">
      <c r="A481" s="7" t="s">
        <v>731</v>
      </c>
      <c r="B481" s="8" t="s">
        <v>732</v>
      </c>
      <c r="C481" s="9">
        <v>42459</v>
      </c>
      <c r="D481" s="10">
        <v>195.608</v>
      </c>
    </row>
    <row r="482" spans="1:4">
      <c r="A482" s="7" t="s">
        <v>175</v>
      </c>
      <c r="B482" s="8" t="s">
        <v>174</v>
      </c>
      <c r="C482" s="9">
        <v>42459</v>
      </c>
      <c r="D482" s="10">
        <v>1209.7950000000001</v>
      </c>
    </row>
    <row r="483" spans="1:4">
      <c r="A483" s="7" t="s">
        <v>63</v>
      </c>
      <c r="B483" s="8" t="s">
        <v>62</v>
      </c>
      <c r="C483" s="9">
        <v>42459</v>
      </c>
      <c r="D483" s="10">
        <v>2000</v>
      </c>
    </row>
    <row r="484" spans="1:4">
      <c r="A484" s="7" t="s">
        <v>81</v>
      </c>
      <c r="B484" s="8" t="s">
        <v>80</v>
      </c>
      <c r="C484" s="9">
        <v>42459</v>
      </c>
      <c r="D484" s="10">
        <v>2083.6280000000002</v>
      </c>
    </row>
    <row r="485" spans="1:4">
      <c r="A485" s="7" t="s">
        <v>259</v>
      </c>
      <c r="B485" s="8" t="s">
        <v>258</v>
      </c>
      <c r="C485" s="9">
        <v>42459</v>
      </c>
      <c r="D485" s="10">
        <v>2026.35</v>
      </c>
    </row>
    <row r="486" spans="1:4">
      <c r="A486" s="7" t="s">
        <v>167</v>
      </c>
      <c r="B486" s="8" t="s">
        <v>166</v>
      </c>
      <c r="C486" s="9">
        <v>42459</v>
      </c>
      <c r="D486" s="10">
        <v>2713.5419999999999</v>
      </c>
    </row>
    <row r="487" spans="1:4">
      <c r="A487" s="7" t="s">
        <v>35</v>
      </c>
      <c r="B487" s="8" t="s">
        <v>34</v>
      </c>
      <c r="C487" s="9">
        <v>42459</v>
      </c>
      <c r="D487" s="10">
        <v>1600</v>
      </c>
    </row>
    <row r="488" spans="1:4">
      <c r="A488" s="7" t="s">
        <v>379</v>
      </c>
      <c r="B488" s="8" t="s">
        <v>378</v>
      </c>
      <c r="C488" s="9">
        <v>42459</v>
      </c>
      <c r="D488" s="10">
        <v>509.33499999999998</v>
      </c>
    </row>
    <row r="489" spans="1:4">
      <c r="A489" s="7" t="s">
        <v>379</v>
      </c>
      <c r="B489" s="8" t="s">
        <v>378</v>
      </c>
      <c r="C489" s="9">
        <v>42459</v>
      </c>
      <c r="D489" s="10">
        <v>1926.2560000000001</v>
      </c>
    </row>
    <row r="490" spans="1:4">
      <c r="A490" s="7" t="s">
        <v>149</v>
      </c>
      <c r="B490" s="8" t="s">
        <v>148</v>
      </c>
      <c r="C490" s="9">
        <v>42459</v>
      </c>
      <c r="D490" s="10">
        <v>2097.12</v>
      </c>
    </row>
    <row r="491" spans="1:4">
      <c r="A491" s="7" t="s">
        <v>153</v>
      </c>
      <c r="B491" s="8" t="s">
        <v>152</v>
      </c>
      <c r="C491" s="9">
        <v>42459</v>
      </c>
      <c r="D491" s="10">
        <v>554.798</v>
      </c>
    </row>
    <row r="492" spans="1:4">
      <c r="A492" s="7" t="s">
        <v>111</v>
      </c>
      <c r="B492" s="8" t="s">
        <v>110</v>
      </c>
      <c r="C492" s="9">
        <v>42459</v>
      </c>
      <c r="D492" s="10">
        <v>2286.7199999999998</v>
      </c>
    </row>
    <row r="493" spans="1:4">
      <c r="A493" s="7" t="s">
        <v>113</v>
      </c>
      <c r="B493" s="8" t="s">
        <v>112</v>
      </c>
      <c r="C493" s="9">
        <v>42459</v>
      </c>
      <c r="D493" s="10">
        <v>2500</v>
      </c>
    </row>
    <row r="494" spans="1:4">
      <c r="A494" s="7" t="s">
        <v>409</v>
      </c>
      <c r="B494" s="8" t="s">
        <v>408</v>
      </c>
      <c r="C494" s="9">
        <v>42459</v>
      </c>
      <c r="D494" s="10">
        <v>1354.078</v>
      </c>
    </row>
    <row r="495" spans="1:4">
      <c r="A495" s="7" t="s">
        <v>187</v>
      </c>
      <c r="B495" s="8" t="s">
        <v>186</v>
      </c>
      <c r="C495" s="9">
        <v>42459</v>
      </c>
      <c r="D495" s="10">
        <v>2803.1689999999999</v>
      </c>
    </row>
    <row r="496" spans="1:4">
      <c r="A496" s="7" t="s">
        <v>660</v>
      </c>
      <c r="B496" s="8" t="s">
        <v>661</v>
      </c>
      <c r="C496" s="9">
        <v>42459</v>
      </c>
      <c r="D496" s="10">
        <v>329.51400000000001</v>
      </c>
    </row>
    <row r="497" spans="1:4">
      <c r="A497" s="7" t="s">
        <v>638</v>
      </c>
      <c r="B497" s="8" t="s">
        <v>639</v>
      </c>
      <c r="C497" s="9">
        <v>42459</v>
      </c>
      <c r="D497" s="10">
        <v>133.00200000000001</v>
      </c>
    </row>
    <row r="498" spans="1:4">
      <c r="A498" s="7" t="s">
        <v>201</v>
      </c>
      <c r="B498" s="8" t="s">
        <v>200</v>
      </c>
      <c r="C498" s="9">
        <v>42459</v>
      </c>
      <c r="D498" s="10">
        <v>358</v>
      </c>
    </row>
    <row r="499" spans="1:4">
      <c r="A499" s="7" t="s">
        <v>205</v>
      </c>
      <c r="B499" s="8" t="s">
        <v>204</v>
      </c>
      <c r="C499" s="9">
        <v>42459</v>
      </c>
      <c r="D499" s="10">
        <v>2573.5309999999999</v>
      </c>
    </row>
    <row r="500" spans="1:4">
      <c r="A500" s="7" t="s">
        <v>401</v>
      </c>
      <c r="B500" s="8" t="s">
        <v>400</v>
      </c>
      <c r="C500" s="9">
        <v>42459</v>
      </c>
      <c r="D500" s="10">
        <v>2224.0520000000001</v>
      </c>
    </row>
    <row r="501" spans="1:4">
      <c r="A501" s="7" t="s">
        <v>323</v>
      </c>
      <c r="B501" s="8" t="s">
        <v>322</v>
      </c>
      <c r="C501" s="9">
        <v>42459</v>
      </c>
      <c r="D501" s="10">
        <v>3000</v>
      </c>
    </row>
    <row r="502" spans="1:4">
      <c r="A502" s="7" t="s">
        <v>195</v>
      </c>
      <c r="B502" s="8" t="s">
        <v>194</v>
      </c>
      <c r="C502" s="9">
        <v>42459</v>
      </c>
      <c r="D502" s="10">
        <v>231.42599999999999</v>
      </c>
    </row>
    <row r="503" spans="1:4">
      <c r="A503" s="7" t="s">
        <v>636</v>
      </c>
      <c r="B503" s="8" t="s">
        <v>637</v>
      </c>
      <c r="C503" s="9">
        <v>42459</v>
      </c>
      <c r="D503" s="10">
        <v>1704.03</v>
      </c>
    </row>
    <row r="504" spans="1:4">
      <c r="A504" s="7" t="s">
        <v>265</v>
      </c>
      <c r="B504" s="8" t="s">
        <v>264</v>
      </c>
      <c r="C504" s="9">
        <v>42459</v>
      </c>
      <c r="D504" s="10">
        <v>607.25300000000004</v>
      </c>
    </row>
    <row r="505" spans="1:4">
      <c r="A505" s="7" t="s">
        <v>197</v>
      </c>
      <c r="B505" s="8" t="s">
        <v>196</v>
      </c>
      <c r="C505" s="9">
        <v>42459</v>
      </c>
      <c r="D505" s="10">
        <v>696.41700000000003</v>
      </c>
    </row>
    <row r="506" spans="1:4">
      <c r="A506" s="7" t="s">
        <v>109</v>
      </c>
      <c r="B506" s="8" t="s">
        <v>108</v>
      </c>
      <c r="C506" s="9">
        <v>42459</v>
      </c>
      <c r="D506" s="10">
        <v>393.38600000000002</v>
      </c>
    </row>
    <row r="507" spans="1:4">
      <c r="A507" s="7" t="s">
        <v>835</v>
      </c>
      <c r="B507" s="8" t="s">
        <v>836</v>
      </c>
      <c r="C507" s="9">
        <v>42459</v>
      </c>
      <c r="D507" s="10">
        <v>305.88</v>
      </c>
    </row>
    <row r="508" spans="1:4">
      <c r="A508" s="7" t="s">
        <v>181</v>
      </c>
      <c r="B508" s="8" t="s">
        <v>180</v>
      </c>
      <c r="C508" s="9">
        <v>42459</v>
      </c>
      <c r="D508" s="10">
        <v>1891.963</v>
      </c>
    </row>
    <row r="509" spans="1:4">
      <c r="A509" s="7" t="s">
        <v>61</v>
      </c>
      <c r="B509" s="8" t="s">
        <v>60</v>
      </c>
      <c r="C509" s="9">
        <v>42459</v>
      </c>
      <c r="D509" s="10">
        <v>4307.2560000000003</v>
      </c>
    </row>
    <row r="510" spans="1:4">
      <c r="A510" s="7" t="s">
        <v>833</v>
      </c>
      <c r="B510" s="8" t="s">
        <v>834</v>
      </c>
      <c r="C510" s="9">
        <v>42459</v>
      </c>
      <c r="D510" s="10">
        <v>885.96100000000001</v>
      </c>
    </row>
    <row r="511" spans="1:4">
      <c r="A511" s="7" t="s">
        <v>590</v>
      </c>
      <c r="B511" s="8" t="s">
        <v>591</v>
      </c>
      <c r="C511" s="9">
        <v>42459</v>
      </c>
      <c r="D511" s="10">
        <v>1654.7080000000001</v>
      </c>
    </row>
    <row r="512" spans="1:4">
      <c r="A512" s="7" t="s">
        <v>391</v>
      </c>
      <c r="B512" s="8" t="s">
        <v>390</v>
      </c>
      <c r="C512" s="9">
        <v>42459</v>
      </c>
      <c r="D512" s="10">
        <v>1630.4359999999999</v>
      </c>
    </row>
    <row r="513" spans="1:4">
      <c r="A513" s="7" t="s">
        <v>837</v>
      </c>
      <c r="B513" s="8" t="s">
        <v>838</v>
      </c>
      <c r="C513" s="9">
        <v>42459</v>
      </c>
      <c r="D513" s="10">
        <v>1155.1120000000001</v>
      </c>
    </row>
    <row r="514" spans="1:4">
      <c r="A514" s="7" t="s">
        <v>165</v>
      </c>
      <c r="B514" s="8" t="s">
        <v>164</v>
      </c>
      <c r="C514" s="9">
        <v>42459</v>
      </c>
      <c r="D514" s="10">
        <v>650</v>
      </c>
    </row>
    <row r="515" spans="1:4">
      <c r="A515" s="7" t="s">
        <v>163</v>
      </c>
      <c r="B515" s="8" t="s">
        <v>162</v>
      </c>
      <c r="C515" s="9">
        <v>42459</v>
      </c>
      <c r="D515" s="10">
        <v>4346.7280000000001</v>
      </c>
    </row>
    <row r="516" spans="1:4">
      <c r="A516" s="7" t="s">
        <v>161</v>
      </c>
      <c r="B516" s="8" t="s">
        <v>160</v>
      </c>
      <c r="C516" s="9">
        <v>42459</v>
      </c>
      <c r="D516" s="10">
        <v>7458.8980000000001</v>
      </c>
    </row>
    <row r="517" spans="1:4">
      <c r="A517" s="7" t="s">
        <v>353</v>
      </c>
      <c r="B517" s="8" t="s">
        <v>352</v>
      </c>
      <c r="C517" s="9">
        <v>42459</v>
      </c>
      <c r="D517" s="10">
        <v>2351.4639999999999</v>
      </c>
    </row>
    <row r="518" spans="1:4">
      <c r="A518" s="7" t="s">
        <v>307</v>
      </c>
      <c r="B518" s="8" t="s">
        <v>306</v>
      </c>
      <c r="C518" s="9">
        <v>42459</v>
      </c>
      <c r="D518" s="10">
        <v>3000</v>
      </c>
    </row>
    <row r="519" spans="1:4">
      <c r="A519" s="7" t="s">
        <v>13</v>
      </c>
      <c r="B519" s="8" t="s">
        <v>12</v>
      </c>
      <c r="C519" s="9">
        <v>42459</v>
      </c>
      <c r="D519" s="10">
        <v>1947.8009999999999</v>
      </c>
    </row>
    <row r="520" spans="1:4">
      <c r="A520" s="7" t="s">
        <v>333</v>
      </c>
      <c r="B520" s="8" t="s">
        <v>332</v>
      </c>
      <c r="C520" s="9">
        <v>42459</v>
      </c>
      <c r="D520" s="10">
        <v>1537.816</v>
      </c>
    </row>
    <row r="521" spans="1:4">
      <c r="A521" s="7" t="s">
        <v>255</v>
      </c>
      <c r="B521" s="8" t="s">
        <v>254</v>
      </c>
      <c r="C521" s="9">
        <v>42459</v>
      </c>
      <c r="D521" s="10">
        <v>1942</v>
      </c>
    </row>
    <row r="522" spans="1:4">
      <c r="A522" s="7" t="s">
        <v>147</v>
      </c>
      <c r="B522" s="8" t="s">
        <v>146</v>
      </c>
      <c r="C522" s="9">
        <v>42459</v>
      </c>
      <c r="D522" s="10">
        <v>4739.183</v>
      </c>
    </row>
    <row r="523" spans="1:4">
      <c r="A523" s="7" t="s">
        <v>145</v>
      </c>
      <c r="B523" s="8" t="s">
        <v>144</v>
      </c>
      <c r="C523" s="9">
        <v>42460</v>
      </c>
      <c r="D523" s="10">
        <v>686.49599999999998</v>
      </c>
    </row>
    <row r="524" spans="1:4">
      <c r="A524" s="7" t="s">
        <v>626</v>
      </c>
      <c r="B524" s="8" t="s">
        <v>627</v>
      </c>
      <c r="C524" s="9">
        <v>42460</v>
      </c>
      <c r="D524" s="10">
        <v>521</v>
      </c>
    </row>
    <row r="525" spans="1:4">
      <c r="A525" s="7" t="s">
        <v>596</v>
      </c>
      <c r="B525" s="8" t="s">
        <v>597</v>
      </c>
      <c r="C525" s="9">
        <v>42460</v>
      </c>
      <c r="D525" s="10">
        <v>1549.7</v>
      </c>
    </row>
    <row r="526" spans="1:4">
      <c r="A526" s="7" t="s">
        <v>223</v>
      </c>
      <c r="B526" s="8" t="s">
        <v>222</v>
      </c>
      <c r="C526" s="9">
        <v>42460</v>
      </c>
      <c r="D526" s="10">
        <v>1918.4179999999999</v>
      </c>
    </row>
    <row r="527" spans="1:4">
      <c r="A527" s="7" t="s">
        <v>127</v>
      </c>
      <c r="B527" s="8" t="s">
        <v>126</v>
      </c>
      <c r="C527" s="9">
        <v>42460</v>
      </c>
      <c r="D527" s="10">
        <v>3177</v>
      </c>
    </row>
    <row r="528" spans="1:4">
      <c r="A528" s="7" t="s">
        <v>143</v>
      </c>
      <c r="B528" s="8" t="s">
        <v>142</v>
      </c>
      <c r="C528" s="9">
        <v>42460</v>
      </c>
      <c r="D528" s="10">
        <v>3594.183</v>
      </c>
    </row>
    <row r="529" spans="1:4">
      <c r="A529" s="7" t="s">
        <v>87</v>
      </c>
      <c r="B529" s="8" t="s">
        <v>86</v>
      </c>
      <c r="C529" s="9">
        <v>42460</v>
      </c>
      <c r="D529" s="10">
        <v>2376.357</v>
      </c>
    </row>
    <row r="530" spans="1:4">
      <c r="A530" s="7" t="s">
        <v>598</v>
      </c>
      <c r="B530" s="8" t="s">
        <v>599</v>
      </c>
      <c r="C530" s="9">
        <v>42460</v>
      </c>
      <c r="D530" s="10">
        <v>3600.5610000000001</v>
      </c>
    </row>
    <row r="531" spans="1:4">
      <c r="A531" s="7" t="s">
        <v>129</v>
      </c>
      <c r="B531" s="8" t="s">
        <v>128</v>
      </c>
      <c r="C531" s="9">
        <v>42460</v>
      </c>
      <c r="D531" s="10">
        <v>2064.8200000000002</v>
      </c>
    </row>
    <row r="532" spans="1:4">
      <c r="A532" s="7" t="s">
        <v>662</v>
      </c>
      <c r="B532" s="8" t="s">
        <v>663</v>
      </c>
      <c r="C532" s="9">
        <v>42460</v>
      </c>
      <c r="D532" s="10">
        <v>1000</v>
      </c>
    </row>
    <row r="533" spans="1:4">
      <c r="A533" s="7" t="s">
        <v>179</v>
      </c>
      <c r="B533" s="8" t="s">
        <v>178</v>
      </c>
      <c r="C533" s="9">
        <v>42460</v>
      </c>
      <c r="D533" s="10">
        <v>765.39200000000005</v>
      </c>
    </row>
    <row r="534" spans="1:4">
      <c r="A534" s="7" t="s">
        <v>415</v>
      </c>
      <c r="B534" s="8" t="s">
        <v>414</v>
      </c>
      <c r="C534" s="9">
        <v>42460</v>
      </c>
      <c r="D534" s="10">
        <v>405.36399999999998</v>
      </c>
    </row>
    <row r="535" spans="1:4">
      <c r="A535" s="7" t="s">
        <v>141</v>
      </c>
      <c r="B535" s="8" t="s">
        <v>140</v>
      </c>
      <c r="C535" s="9">
        <v>42460</v>
      </c>
      <c r="D535" s="10">
        <v>1579.877</v>
      </c>
    </row>
    <row r="536" spans="1:4">
      <c r="A536" s="7" t="s">
        <v>133</v>
      </c>
      <c r="B536" s="8" t="s">
        <v>132</v>
      </c>
      <c r="C536" s="9">
        <v>42460</v>
      </c>
      <c r="D536" s="10">
        <v>428.7</v>
      </c>
    </row>
    <row r="537" spans="1:4">
      <c r="A537" s="7" t="s">
        <v>729</v>
      </c>
      <c r="B537" s="8" t="s">
        <v>730</v>
      </c>
      <c r="C537" s="9">
        <v>42460</v>
      </c>
      <c r="D537" s="10">
        <v>1200.7619999999999</v>
      </c>
    </row>
    <row r="538" spans="1:4">
      <c r="A538" s="7" t="s">
        <v>213</v>
      </c>
      <c r="B538" s="8" t="s">
        <v>212</v>
      </c>
      <c r="C538" s="9">
        <v>42460</v>
      </c>
      <c r="D538" s="10">
        <v>2291.9969999999998</v>
      </c>
    </row>
    <row r="539" spans="1:4">
      <c r="A539" s="7" t="s">
        <v>329</v>
      </c>
      <c r="B539" s="8" t="s">
        <v>328</v>
      </c>
      <c r="C539" s="9">
        <v>42460</v>
      </c>
      <c r="D539" s="10">
        <v>1218.3720000000001</v>
      </c>
    </row>
    <row r="540" spans="1:4">
      <c r="A540" s="7" t="s">
        <v>85</v>
      </c>
      <c r="B540" s="8" t="s">
        <v>84</v>
      </c>
      <c r="C540" s="9">
        <v>42460</v>
      </c>
      <c r="D540" s="10">
        <v>1816.3340000000001</v>
      </c>
    </row>
    <row r="541" spans="1:4">
      <c r="A541" s="7" t="s">
        <v>83</v>
      </c>
      <c r="B541" s="8" t="s">
        <v>82</v>
      </c>
      <c r="C541" s="9">
        <v>42460</v>
      </c>
      <c r="D541" s="10">
        <v>3325.1529999999998</v>
      </c>
    </row>
    <row r="542" spans="1:4">
      <c r="A542" s="7" t="s">
        <v>79</v>
      </c>
      <c r="B542" s="8" t="s">
        <v>78</v>
      </c>
      <c r="C542" s="9">
        <v>42460</v>
      </c>
      <c r="D542" s="10">
        <v>6645.5889999999999</v>
      </c>
    </row>
    <row r="543" spans="1:4">
      <c r="A543" s="7" t="s">
        <v>397</v>
      </c>
      <c r="B543" s="8" t="s">
        <v>396</v>
      </c>
      <c r="C543" s="9">
        <v>42460</v>
      </c>
      <c r="D543" s="10">
        <v>4735.2370000000001</v>
      </c>
    </row>
    <row r="544" spans="1:4">
      <c r="A544" s="7" t="s">
        <v>399</v>
      </c>
      <c r="B544" s="8" t="s">
        <v>398</v>
      </c>
      <c r="C544" s="9">
        <v>42460</v>
      </c>
      <c r="D544" s="10">
        <v>2469.4650000000001</v>
      </c>
    </row>
    <row r="545" spans="1:4">
      <c r="A545" s="7" t="s">
        <v>73</v>
      </c>
      <c r="B545" s="8" t="s">
        <v>72</v>
      </c>
      <c r="C545" s="9">
        <v>42460</v>
      </c>
      <c r="D545" s="10">
        <v>750</v>
      </c>
    </row>
    <row r="546" spans="1:4">
      <c r="A546" s="7" t="s">
        <v>57</v>
      </c>
      <c r="B546" s="8" t="s">
        <v>56</v>
      </c>
      <c r="C546" s="9">
        <v>42460</v>
      </c>
      <c r="D546" s="10">
        <v>2825.748</v>
      </c>
    </row>
    <row r="547" spans="1:4">
      <c r="A547" s="7" t="s">
        <v>55</v>
      </c>
      <c r="B547" s="8" t="s">
        <v>54</v>
      </c>
      <c r="C547" s="9">
        <v>42460</v>
      </c>
      <c r="D547" s="10">
        <v>4057.4769999999999</v>
      </c>
    </row>
    <row r="548" spans="1:4">
      <c r="A548" s="7" t="s">
        <v>53</v>
      </c>
      <c r="B548" s="8" t="s">
        <v>52</v>
      </c>
      <c r="C548" s="9">
        <v>42460</v>
      </c>
      <c r="D548" s="10">
        <v>770.66399999999999</v>
      </c>
    </row>
    <row r="549" spans="1:4">
      <c r="A549" s="7" t="s">
        <v>51</v>
      </c>
      <c r="B549" s="8" t="s">
        <v>50</v>
      </c>
      <c r="C549" s="9">
        <v>42460</v>
      </c>
      <c r="D549" s="10">
        <v>3276.1570000000002</v>
      </c>
    </row>
    <row r="550" spans="1:4">
      <c r="A550" s="7" t="s">
        <v>387</v>
      </c>
      <c r="B550" s="8" t="s">
        <v>386</v>
      </c>
      <c r="C550" s="9">
        <v>42460</v>
      </c>
      <c r="D550" s="10">
        <v>4000</v>
      </c>
    </row>
    <row r="551" spans="1:4">
      <c r="A551" s="7" t="s">
        <v>387</v>
      </c>
      <c r="B551" s="8" t="s">
        <v>386</v>
      </c>
      <c r="C551" s="9">
        <v>42460</v>
      </c>
      <c r="D551" s="10">
        <v>5235.7120000000004</v>
      </c>
    </row>
    <row r="552" spans="1:4">
      <c r="A552" s="7" t="s">
        <v>31</v>
      </c>
      <c r="B552" s="8" t="s">
        <v>30</v>
      </c>
      <c r="C552" s="9">
        <v>42460</v>
      </c>
      <c r="D552" s="10">
        <v>650</v>
      </c>
    </row>
    <row r="553" spans="1:4">
      <c r="A553" s="7" t="s">
        <v>21</v>
      </c>
      <c r="B553" s="8" t="s">
        <v>20</v>
      </c>
      <c r="C553" s="9">
        <v>42460</v>
      </c>
      <c r="D553" s="10">
        <v>2698.9630000000002</v>
      </c>
    </row>
    <row r="554" spans="1:4">
      <c r="A554" s="7" t="s">
        <v>15</v>
      </c>
      <c r="B554" s="8" t="s">
        <v>14</v>
      </c>
      <c r="C554" s="9">
        <v>42460</v>
      </c>
      <c r="D554" s="10">
        <v>4300</v>
      </c>
    </row>
    <row r="555" spans="1:4">
      <c r="A555" s="7" t="s">
        <v>19</v>
      </c>
      <c r="B555" s="8" t="s">
        <v>18</v>
      </c>
      <c r="C555" s="9">
        <v>42460</v>
      </c>
      <c r="D555" s="10">
        <v>3569.0259999999998</v>
      </c>
    </row>
    <row r="556" spans="1:4">
      <c r="A556" s="7" t="s">
        <v>303</v>
      </c>
      <c r="B556" s="8" t="s">
        <v>302</v>
      </c>
      <c r="C556" s="9">
        <v>42460</v>
      </c>
      <c r="D556" s="10">
        <v>1500</v>
      </c>
    </row>
    <row r="557" spans="1:4">
      <c r="A557" s="7" t="s">
        <v>602</v>
      </c>
      <c r="B557" s="8" t="s">
        <v>603</v>
      </c>
      <c r="C557" s="9">
        <v>42460</v>
      </c>
      <c r="D557" s="10">
        <v>1290.123</v>
      </c>
    </row>
    <row r="558" spans="1:4">
      <c r="A558" s="7" t="s">
        <v>151</v>
      </c>
      <c r="B558" s="8" t="s">
        <v>150</v>
      </c>
      <c r="C558" s="9">
        <v>42460</v>
      </c>
      <c r="D558" s="10">
        <v>914.76</v>
      </c>
    </row>
    <row r="559" spans="1:4">
      <c r="A559" s="7" t="s">
        <v>131</v>
      </c>
      <c r="B559" s="8" t="s">
        <v>130</v>
      </c>
      <c r="C559" s="9">
        <v>42460</v>
      </c>
      <c r="D559" s="10">
        <v>2005.7449999999999</v>
      </c>
    </row>
    <row r="560" spans="1:4">
      <c r="A560" s="7" t="s">
        <v>233</v>
      </c>
      <c r="B560" s="8" t="s">
        <v>232</v>
      </c>
      <c r="C560" s="9">
        <v>42460</v>
      </c>
      <c r="D560" s="10">
        <v>590.04200000000003</v>
      </c>
    </row>
    <row r="561" spans="1:5">
      <c r="A561" s="7" t="s">
        <v>137</v>
      </c>
      <c r="B561" s="8" t="s">
        <v>136</v>
      </c>
      <c r="C561" s="9">
        <v>42460</v>
      </c>
      <c r="D561" s="10">
        <v>693.05399999999997</v>
      </c>
    </row>
    <row r="562" spans="1:5">
      <c r="A562" s="7" t="s">
        <v>209</v>
      </c>
      <c r="B562" s="8" t="s">
        <v>208</v>
      </c>
      <c r="C562" s="9">
        <v>42460</v>
      </c>
      <c r="D562" s="10">
        <v>5825.357</v>
      </c>
      <c r="E562" s="334"/>
    </row>
    <row r="563" spans="1:5">
      <c r="A563" s="7" t="s">
        <v>117</v>
      </c>
      <c r="B563" s="8" t="s">
        <v>116</v>
      </c>
      <c r="C563" s="9">
        <v>42460</v>
      </c>
      <c r="D563" s="10">
        <v>4500</v>
      </c>
    </row>
    <row r="564" spans="1:5">
      <c r="A564" s="7" t="s">
        <v>273</v>
      </c>
      <c r="B564" s="8" t="s">
        <v>272</v>
      </c>
      <c r="C564" s="9">
        <v>42460</v>
      </c>
      <c r="D564" s="10">
        <v>1568.9870000000001</v>
      </c>
      <c r="E564" s="334"/>
    </row>
    <row r="565" spans="1:5">
      <c r="A565" s="7" t="s">
        <v>189</v>
      </c>
      <c r="B565" s="8" t="s">
        <v>188</v>
      </c>
      <c r="C565" s="9">
        <v>42460</v>
      </c>
      <c r="D565" s="10">
        <v>615.21900000000005</v>
      </c>
    </row>
    <row r="566" spans="1:5">
      <c r="A566" s="7" t="s">
        <v>339</v>
      </c>
      <c r="B566" s="8" t="s">
        <v>338</v>
      </c>
      <c r="C566" s="9">
        <v>42460</v>
      </c>
      <c r="D566" s="10">
        <v>1222.502</v>
      </c>
    </row>
    <row r="567" spans="1:5">
      <c r="A567" s="7" t="s">
        <v>99</v>
      </c>
      <c r="B567" s="8" t="s">
        <v>98</v>
      </c>
      <c r="C567" s="9">
        <v>42460</v>
      </c>
      <c r="D567" s="10">
        <v>1356.5740000000001</v>
      </c>
    </row>
    <row r="568" spans="1:5">
      <c r="A568" s="7" t="s">
        <v>367</v>
      </c>
      <c r="B568" s="8" t="s">
        <v>366</v>
      </c>
      <c r="C568" s="9">
        <v>42460</v>
      </c>
      <c r="D568" s="10">
        <v>2000</v>
      </c>
    </row>
    <row r="569" spans="1:5">
      <c r="A569" s="7" t="s">
        <v>123</v>
      </c>
      <c r="B569" s="8" t="s">
        <v>122</v>
      </c>
      <c r="C569" s="9">
        <v>42460</v>
      </c>
      <c r="D569" s="10">
        <v>2147.36</v>
      </c>
    </row>
    <row r="570" spans="1:5">
      <c r="A570" s="7" t="s">
        <v>191</v>
      </c>
      <c r="B570" s="8" t="s">
        <v>190</v>
      </c>
      <c r="C570" s="9">
        <v>42460</v>
      </c>
      <c r="D570" s="10">
        <v>1392.002</v>
      </c>
    </row>
    <row r="571" spans="1:5">
      <c r="A571" s="7" t="s">
        <v>107</v>
      </c>
      <c r="B571" s="8" t="s">
        <v>106</v>
      </c>
      <c r="C571" s="9">
        <v>42460</v>
      </c>
      <c r="D571" s="10">
        <v>2332.181</v>
      </c>
    </row>
    <row r="572" spans="1:5">
      <c r="A572" s="7" t="s">
        <v>95</v>
      </c>
      <c r="B572" s="8" t="s">
        <v>94</v>
      </c>
      <c r="C572" s="9">
        <v>42460</v>
      </c>
      <c r="D572" s="10">
        <v>887.178</v>
      </c>
    </row>
    <row r="573" spans="1:5">
      <c r="A573" s="7" t="s">
        <v>105</v>
      </c>
      <c r="B573" s="8" t="s">
        <v>104</v>
      </c>
      <c r="C573" s="9">
        <v>42460</v>
      </c>
      <c r="D573" s="10">
        <v>1203.894</v>
      </c>
    </row>
    <row r="574" spans="1:5">
      <c r="A574" s="7" t="s">
        <v>237</v>
      </c>
      <c r="B574" s="8" t="s">
        <v>236</v>
      </c>
      <c r="C574" s="9">
        <v>42460</v>
      </c>
      <c r="D574" s="10">
        <v>423.548</v>
      </c>
    </row>
    <row r="575" spans="1:5">
      <c r="A575" s="7" t="s">
        <v>93</v>
      </c>
      <c r="B575" s="8" t="s">
        <v>92</v>
      </c>
      <c r="C575" s="9">
        <v>42460</v>
      </c>
      <c r="D575" s="10">
        <v>830.8</v>
      </c>
    </row>
    <row r="576" spans="1:5">
      <c r="A576" s="7" t="s">
        <v>103</v>
      </c>
      <c r="B576" s="8" t="s">
        <v>102</v>
      </c>
      <c r="C576" s="9">
        <v>42460</v>
      </c>
      <c r="D576" s="10">
        <v>772.53300000000002</v>
      </c>
    </row>
    <row r="577" spans="1:4">
      <c r="A577" s="7" t="s">
        <v>101</v>
      </c>
      <c r="B577" s="8" t="s">
        <v>100</v>
      </c>
      <c r="C577" s="9">
        <v>42460</v>
      </c>
      <c r="D577" s="10">
        <v>903.82100000000003</v>
      </c>
    </row>
    <row r="578" spans="1:4">
      <c r="A578" s="7" t="s">
        <v>183</v>
      </c>
      <c r="B578" s="8" t="s">
        <v>182</v>
      </c>
      <c r="C578" s="9">
        <v>42460</v>
      </c>
      <c r="D578" s="10">
        <v>1548.931</v>
      </c>
    </row>
    <row r="579" spans="1:4">
      <c r="A579" s="7" t="s">
        <v>203</v>
      </c>
      <c r="B579" s="8" t="s">
        <v>202</v>
      </c>
      <c r="C579" s="9">
        <v>42460</v>
      </c>
      <c r="D579" s="10">
        <v>2621.4459999999999</v>
      </c>
    </row>
    <row r="580" spans="1:4">
      <c r="A580" s="7" t="s">
        <v>839</v>
      </c>
      <c r="B580" s="8" t="s">
        <v>840</v>
      </c>
      <c r="C580" s="9">
        <v>42460</v>
      </c>
      <c r="D580" s="10">
        <v>375.47500000000002</v>
      </c>
    </row>
    <row r="581" spans="1:4">
      <c r="A581" s="7" t="s">
        <v>177</v>
      </c>
      <c r="B581" s="8" t="s">
        <v>176</v>
      </c>
      <c r="C581" s="9">
        <v>42460</v>
      </c>
      <c r="D581" s="10">
        <v>174.255</v>
      </c>
    </row>
    <row r="582" spans="1:4">
      <c r="A582" s="7" t="s">
        <v>632</v>
      </c>
      <c r="B582" s="8" t="s">
        <v>633</v>
      </c>
      <c r="C582" s="9">
        <v>42460</v>
      </c>
      <c r="D582" s="10">
        <v>265.50400000000002</v>
      </c>
    </row>
    <row r="583" spans="1:4">
      <c r="A583" s="7" t="s">
        <v>119</v>
      </c>
      <c r="B583" s="8" t="s">
        <v>118</v>
      </c>
      <c r="C583" s="9">
        <v>42460</v>
      </c>
      <c r="D583" s="10">
        <v>5000</v>
      </c>
    </row>
    <row r="584" spans="1:4">
      <c r="A584" s="7" t="s">
        <v>75</v>
      </c>
      <c r="B584" s="8" t="s">
        <v>74</v>
      </c>
      <c r="C584" s="9">
        <v>42460</v>
      </c>
      <c r="D584" s="10">
        <v>2808.5459999999998</v>
      </c>
    </row>
    <row r="585" spans="1:4">
      <c r="A585" s="7" t="s">
        <v>345</v>
      </c>
      <c r="B585" s="8" t="s">
        <v>344</v>
      </c>
      <c r="C585" s="9">
        <v>42460</v>
      </c>
      <c r="D585" s="10">
        <v>897.52599999999995</v>
      </c>
    </row>
    <row r="586" spans="1:4">
      <c r="A586" s="7" t="s">
        <v>65</v>
      </c>
      <c r="B586" s="8" t="s">
        <v>64</v>
      </c>
      <c r="C586" s="9">
        <v>42460</v>
      </c>
      <c r="D586" s="10">
        <v>601.35599999999999</v>
      </c>
    </row>
    <row r="587" spans="1:4">
      <c r="A587" s="7" t="s">
        <v>69</v>
      </c>
      <c r="B587" s="8" t="s">
        <v>68</v>
      </c>
      <c r="C587" s="9">
        <v>42460</v>
      </c>
      <c r="D587" s="10">
        <v>2350.9699999999998</v>
      </c>
    </row>
    <row r="588" spans="1:4">
      <c r="A588" s="7" t="s">
        <v>71</v>
      </c>
      <c r="B588" s="8" t="s">
        <v>70</v>
      </c>
      <c r="C588" s="9">
        <v>42460</v>
      </c>
      <c r="D588" s="10">
        <v>826.42399999999998</v>
      </c>
    </row>
    <row r="589" spans="1:4">
      <c r="A589" s="7" t="s">
        <v>841</v>
      </c>
      <c r="B589" s="8" t="s">
        <v>842</v>
      </c>
      <c r="C589" s="9">
        <v>42460</v>
      </c>
      <c r="D589" s="10">
        <v>3255.0920000000001</v>
      </c>
    </row>
    <row r="590" spans="1:4">
      <c r="A590" s="7" t="s">
        <v>45</v>
      </c>
      <c r="B590" s="8" t="s">
        <v>44</v>
      </c>
      <c r="C590" s="9">
        <v>42460</v>
      </c>
      <c r="D590" s="10">
        <v>1529.838</v>
      </c>
    </row>
    <row r="591" spans="1:4">
      <c r="A591" s="7" t="s">
        <v>802</v>
      </c>
      <c r="B591" s="8" t="s">
        <v>803</v>
      </c>
      <c r="C591" s="9">
        <v>42460</v>
      </c>
      <c r="D591" s="10">
        <v>1334.6020000000001</v>
      </c>
    </row>
    <row r="592" spans="1:4">
      <c r="A592" s="7" t="s">
        <v>35</v>
      </c>
      <c r="B592" s="8" t="s">
        <v>34</v>
      </c>
      <c r="C592" s="9">
        <v>42460</v>
      </c>
      <c r="D592" s="10">
        <v>1500</v>
      </c>
    </row>
    <row r="593" spans="1:4">
      <c r="A593" s="7" t="s">
        <v>804</v>
      </c>
      <c r="B593" s="8" t="s">
        <v>805</v>
      </c>
      <c r="C593" s="9">
        <v>42460</v>
      </c>
      <c r="D593" s="10">
        <v>833.78300000000002</v>
      </c>
    </row>
    <row r="594" spans="1:4">
      <c r="A594" s="7" t="s">
        <v>385</v>
      </c>
      <c r="B594" s="8" t="s">
        <v>384</v>
      </c>
      <c r="C594" s="9">
        <v>42460</v>
      </c>
      <c r="D594" s="10">
        <v>313.20499999999998</v>
      </c>
    </row>
    <row r="595" spans="1:4">
      <c r="A595" s="7" t="s">
        <v>49</v>
      </c>
      <c r="B595" s="8" t="s">
        <v>48</v>
      </c>
      <c r="C595" s="9">
        <v>42460</v>
      </c>
      <c r="D595" s="10">
        <v>425.827</v>
      </c>
    </row>
    <row r="596" spans="1:4">
      <c r="A596" s="7" t="s">
        <v>33</v>
      </c>
      <c r="B596" s="8" t="s">
        <v>32</v>
      </c>
      <c r="C596" s="9">
        <v>42460</v>
      </c>
      <c r="D596" s="10">
        <v>1932.325</v>
      </c>
    </row>
    <row r="597" spans="1:4">
      <c r="A597" s="7" t="s">
        <v>843</v>
      </c>
      <c r="B597" s="8" t="s">
        <v>844</v>
      </c>
      <c r="C597" s="9">
        <v>42460</v>
      </c>
      <c r="D597" s="10">
        <v>2633.1480000000001</v>
      </c>
    </row>
    <row r="598" spans="1:4">
      <c r="A598" s="7" t="s">
        <v>29</v>
      </c>
      <c r="B598" s="8" t="s">
        <v>28</v>
      </c>
      <c r="C598" s="9">
        <v>42460</v>
      </c>
      <c r="D598" s="10">
        <v>1220.5719999999999</v>
      </c>
    </row>
    <row r="599" spans="1:4">
      <c r="A599" s="7" t="s">
        <v>600</v>
      </c>
      <c r="B599" s="8" t="s">
        <v>601</v>
      </c>
      <c r="C599" s="9">
        <v>42460</v>
      </c>
      <c r="D599" s="10">
        <v>775.83600000000001</v>
      </c>
    </row>
    <row r="600" spans="1:4">
      <c r="A600" s="7" t="s">
        <v>25</v>
      </c>
      <c r="B600" s="8" t="s">
        <v>24</v>
      </c>
      <c r="C600" s="9">
        <v>42460</v>
      </c>
      <c r="D600" s="10">
        <v>500.13</v>
      </c>
    </row>
    <row r="601" spans="1:4">
      <c r="A601" s="7" t="s">
        <v>27</v>
      </c>
      <c r="B601" s="8" t="s">
        <v>26</v>
      </c>
      <c r="C601" s="9">
        <v>42460</v>
      </c>
      <c r="D601" s="10">
        <v>290.745</v>
      </c>
    </row>
    <row r="602" spans="1:4">
      <c r="A602" s="7" t="s">
        <v>309</v>
      </c>
      <c r="B602" s="8" t="s">
        <v>308</v>
      </c>
      <c r="C602" s="9">
        <v>42460</v>
      </c>
      <c r="D602" s="10">
        <v>4006.8429999999998</v>
      </c>
    </row>
    <row r="603" spans="1:4">
      <c r="A603" s="7" t="s">
        <v>806</v>
      </c>
      <c r="B603" s="8" t="s">
        <v>807</v>
      </c>
      <c r="C603" s="9">
        <v>42460</v>
      </c>
      <c r="D603" s="10">
        <v>1184.29</v>
      </c>
    </row>
    <row r="604" spans="1:4">
      <c r="A604" s="7" t="s">
        <v>31</v>
      </c>
      <c r="B604" s="8" t="s">
        <v>30</v>
      </c>
      <c r="C604" s="9">
        <v>42460</v>
      </c>
      <c r="D604" s="10">
        <v>655.74199999999996</v>
      </c>
    </row>
    <row r="605" spans="1:4">
      <c r="A605" s="7" t="s">
        <v>23</v>
      </c>
      <c r="B605" s="8" t="s">
        <v>22</v>
      </c>
      <c r="C605" s="9">
        <v>42460</v>
      </c>
      <c r="D605" s="10">
        <v>1248.3440000000001</v>
      </c>
    </row>
    <row r="606" spans="1:4">
      <c r="A606" s="7" t="s">
        <v>275</v>
      </c>
      <c r="B606" s="8" t="s">
        <v>274</v>
      </c>
      <c r="C606" s="9">
        <v>42460</v>
      </c>
      <c r="D606" s="10">
        <v>1100</v>
      </c>
    </row>
    <row r="607" spans="1:4">
      <c r="A607" s="7" t="s">
        <v>377</v>
      </c>
      <c r="B607" s="8" t="s">
        <v>376</v>
      </c>
      <c r="C607" s="9">
        <v>42460</v>
      </c>
      <c r="D607" s="10">
        <v>3132.0709999999999</v>
      </c>
    </row>
    <row r="608" spans="1:4" ht="15.75" thickBot="1">
      <c r="A608" s="11" t="s">
        <v>281</v>
      </c>
      <c r="B608" s="12" t="s">
        <v>280</v>
      </c>
      <c r="C608" s="13">
        <v>42460</v>
      </c>
      <c r="D608" s="14">
        <v>400</v>
      </c>
    </row>
    <row r="609" spans="1:4" ht="15.75" thickBot="1">
      <c r="A609" s="668" t="s">
        <v>734</v>
      </c>
      <c r="B609" s="669"/>
      <c r="C609" s="669"/>
      <c r="D609" s="335">
        <f>SUM(D259:D608)</f>
        <v>591935.19999999984</v>
      </c>
    </row>
    <row r="610" spans="1:4">
      <c r="A610" s="3" t="s">
        <v>243</v>
      </c>
      <c r="B610" s="4" t="s">
        <v>242</v>
      </c>
      <c r="C610" s="5">
        <v>42461</v>
      </c>
      <c r="D610" s="6">
        <v>3000</v>
      </c>
    </row>
    <row r="611" spans="1:4">
      <c r="A611" s="7" t="s">
        <v>371</v>
      </c>
      <c r="B611" s="8" t="s">
        <v>370</v>
      </c>
      <c r="C611" s="9">
        <v>42461</v>
      </c>
      <c r="D611" s="10">
        <v>1539.9469999999999</v>
      </c>
    </row>
    <row r="612" spans="1:4">
      <c r="A612" s="7" t="s">
        <v>139</v>
      </c>
      <c r="B612" s="8" t="s">
        <v>138</v>
      </c>
      <c r="C612" s="9">
        <v>42462</v>
      </c>
      <c r="D612" s="10">
        <v>350.05200000000002</v>
      </c>
    </row>
    <row r="613" spans="1:4">
      <c r="A613" s="7" t="s">
        <v>229</v>
      </c>
      <c r="B613" s="8" t="s">
        <v>228</v>
      </c>
      <c r="C613" s="9">
        <v>42462</v>
      </c>
      <c r="D613" s="10">
        <v>360</v>
      </c>
    </row>
    <row r="614" spans="1:4">
      <c r="A614" s="7" t="s">
        <v>145</v>
      </c>
      <c r="B614" s="8" t="s">
        <v>144</v>
      </c>
      <c r="C614" s="9">
        <v>42463</v>
      </c>
      <c r="D614" s="10">
        <v>460</v>
      </c>
    </row>
    <row r="615" spans="1:4">
      <c r="A615" s="7" t="s">
        <v>341</v>
      </c>
      <c r="B615" s="8" t="s">
        <v>340</v>
      </c>
      <c r="C615" s="9">
        <v>42463</v>
      </c>
      <c r="D615" s="10">
        <v>1937.0119999999999</v>
      </c>
    </row>
    <row r="616" spans="1:4">
      <c r="A616" s="7" t="s">
        <v>845</v>
      </c>
      <c r="B616" s="8" t="s">
        <v>846</v>
      </c>
      <c r="C616" s="9">
        <v>42463</v>
      </c>
      <c r="D616" s="10">
        <v>188.67</v>
      </c>
    </row>
    <row r="617" spans="1:4">
      <c r="A617" s="7" t="s">
        <v>43</v>
      </c>
      <c r="B617" s="8" t="s">
        <v>42</v>
      </c>
      <c r="C617" s="9">
        <v>42463</v>
      </c>
      <c r="D617" s="10">
        <v>4250</v>
      </c>
    </row>
    <row r="618" spans="1:4">
      <c r="A618" s="7" t="s">
        <v>257</v>
      </c>
      <c r="B618" s="8" t="s">
        <v>256</v>
      </c>
      <c r="C618" s="9">
        <v>42463</v>
      </c>
      <c r="D618" s="10">
        <v>1030.837</v>
      </c>
    </row>
    <row r="619" spans="1:4">
      <c r="A619" s="7" t="s">
        <v>225</v>
      </c>
      <c r="B619" s="8" t="s">
        <v>224</v>
      </c>
      <c r="C619" s="9">
        <v>42463</v>
      </c>
      <c r="D619" s="10">
        <v>773.31399999999996</v>
      </c>
    </row>
    <row r="620" spans="1:4">
      <c r="A620" s="7" t="s">
        <v>349</v>
      </c>
      <c r="B620" s="8" t="s">
        <v>348</v>
      </c>
      <c r="C620" s="9">
        <v>42464</v>
      </c>
      <c r="D620" s="10">
        <v>1150</v>
      </c>
    </row>
    <row r="621" spans="1:4">
      <c r="A621" s="7" t="s">
        <v>299</v>
      </c>
      <c r="B621" s="8" t="s">
        <v>298</v>
      </c>
      <c r="C621" s="9">
        <v>42464</v>
      </c>
      <c r="D621" s="10">
        <v>553.75</v>
      </c>
    </row>
    <row r="622" spans="1:4">
      <c r="A622" s="7" t="s">
        <v>145</v>
      </c>
      <c r="B622" s="8" t="s">
        <v>144</v>
      </c>
      <c r="C622" s="9">
        <v>42465</v>
      </c>
      <c r="D622" s="10">
        <v>800</v>
      </c>
    </row>
    <row r="623" spans="1:4">
      <c r="A623" s="7" t="s">
        <v>143</v>
      </c>
      <c r="B623" s="8" t="s">
        <v>142</v>
      </c>
      <c r="C623" s="9">
        <v>42465</v>
      </c>
      <c r="D623" s="10">
        <v>2000</v>
      </c>
    </row>
    <row r="624" spans="1:4">
      <c r="A624" s="7" t="s">
        <v>269</v>
      </c>
      <c r="B624" s="8" t="s">
        <v>268</v>
      </c>
      <c r="C624" s="9">
        <v>42465</v>
      </c>
      <c r="D624" s="10">
        <v>1757.162</v>
      </c>
    </row>
    <row r="625" spans="1:5">
      <c r="A625" s="7" t="s">
        <v>97</v>
      </c>
      <c r="B625" s="8" t="s">
        <v>96</v>
      </c>
      <c r="C625" s="9">
        <v>42465</v>
      </c>
      <c r="D625" s="10">
        <v>1199.3620000000001</v>
      </c>
    </row>
    <row r="626" spans="1:5">
      <c r="A626" s="7" t="s">
        <v>295</v>
      </c>
      <c r="B626" s="8" t="s">
        <v>294</v>
      </c>
      <c r="C626" s="9">
        <v>42465</v>
      </c>
      <c r="D626" s="10">
        <v>1540.7629999999999</v>
      </c>
    </row>
    <row r="627" spans="1:5">
      <c r="A627" s="7" t="s">
        <v>139</v>
      </c>
      <c r="B627" s="8" t="s">
        <v>138</v>
      </c>
      <c r="C627" s="9">
        <v>42465</v>
      </c>
      <c r="D627" s="10">
        <v>305</v>
      </c>
    </row>
    <row r="628" spans="1:5">
      <c r="A628" s="7" t="s">
        <v>411</v>
      </c>
      <c r="B628" s="8" t="s">
        <v>410</v>
      </c>
      <c r="C628" s="9">
        <v>42465</v>
      </c>
      <c r="D628" s="10">
        <v>618.15300000000002</v>
      </c>
    </row>
    <row r="629" spans="1:5">
      <c r="A629" s="7" t="s">
        <v>359</v>
      </c>
      <c r="B629" s="8" t="s">
        <v>358</v>
      </c>
      <c r="C629" s="9">
        <v>42465</v>
      </c>
      <c r="D629" s="10">
        <v>1159.3109999999999</v>
      </c>
    </row>
    <row r="630" spans="1:5">
      <c r="A630" s="7" t="s">
        <v>227</v>
      </c>
      <c r="B630" s="8" t="s">
        <v>226</v>
      </c>
      <c r="C630" s="9">
        <v>42465</v>
      </c>
      <c r="D630" s="10">
        <v>1361.375</v>
      </c>
    </row>
    <row r="631" spans="1:5">
      <c r="A631" s="7" t="s">
        <v>407</v>
      </c>
      <c r="B631" s="8" t="s">
        <v>406</v>
      </c>
      <c r="C631" s="9">
        <v>42465</v>
      </c>
      <c r="D631" s="10">
        <v>1364.3440000000001</v>
      </c>
    </row>
    <row r="632" spans="1:5">
      <c r="A632" s="7" t="s">
        <v>357</v>
      </c>
      <c r="B632" s="8" t="s">
        <v>356</v>
      </c>
      <c r="C632" s="9">
        <v>42465</v>
      </c>
      <c r="D632" s="10">
        <v>1247.6120000000001</v>
      </c>
    </row>
    <row r="633" spans="1:5">
      <c r="A633" s="7" t="s">
        <v>634</v>
      </c>
      <c r="B633" s="8" t="s">
        <v>635</v>
      </c>
      <c r="C633" s="9">
        <v>42465</v>
      </c>
      <c r="D633" s="10">
        <v>3000</v>
      </c>
    </row>
    <row r="634" spans="1:5">
      <c r="A634" s="7" t="s">
        <v>89</v>
      </c>
      <c r="B634" s="8" t="s">
        <v>88</v>
      </c>
      <c r="C634" s="9">
        <v>42465</v>
      </c>
      <c r="D634" s="10">
        <v>1865.732</v>
      </c>
    </row>
    <row r="635" spans="1:5">
      <c r="A635" s="7" t="s">
        <v>67</v>
      </c>
      <c r="B635" s="8" t="s">
        <v>66</v>
      </c>
      <c r="C635" s="9">
        <v>42465</v>
      </c>
      <c r="D635" s="10">
        <v>1070.999</v>
      </c>
    </row>
    <row r="636" spans="1:5">
      <c r="A636" s="7" t="s">
        <v>847</v>
      </c>
      <c r="B636" s="8" t="s">
        <v>848</v>
      </c>
      <c r="C636" s="9">
        <v>42465</v>
      </c>
      <c r="D636" s="10">
        <v>1655</v>
      </c>
    </row>
    <row r="637" spans="1:5">
      <c r="A637" s="7" t="s">
        <v>145</v>
      </c>
      <c r="B637" s="8" t="s">
        <v>144</v>
      </c>
      <c r="C637" s="9">
        <v>42466</v>
      </c>
      <c r="D637" s="10">
        <v>342.16399999999999</v>
      </c>
    </row>
    <row r="638" spans="1:5">
      <c r="A638" s="7" t="s">
        <v>369</v>
      </c>
      <c r="B638" s="8" t="s">
        <v>368</v>
      </c>
      <c r="C638" s="9">
        <v>42466</v>
      </c>
      <c r="D638" s="10">
        <v>1975.412</v>
      </c>
    </row>
    <row r="639" spans="1:5">
      <c r="A639" s="7" t="s">
        <v>229</v>
      </c>
      <c r="B639" s="8" t="s">
        <v>228</v>
      </c>
      <c r="C639" s="9">
        <v>42466</v>
      </c>
      <c r="D639" s="10">
        <v>360</v>
      </c>
    </row>
    <row r="640" spans="1:5" s="334" customFormat="1">
      <c r="A640" s="7" t="s">
        <v>808</v>
      </c>
      <c r="B640" s="8" t="s">
        <v>809</v>
      </c>
      <c r="C640" s="9">
        <v>42466</v>
      </c>
      <c r="D640" s="10">
        <v>200</v>
      </c>
      <c r="E640"/>
    </row>
    <row r="641" spans="1:5">
      <c r="A641" s="7" t="s">
        <v>347</v>
      </c>
      <c r="B641" s="8" t="s">
        <v>346</v>
      </c>
      <c r="C641" s="9">
        <v>42467</v>
      </c>
      <c r="D641" s="10">
        <v>9871.3389999999999</v>
      </c>
    </row>
    <row r="642" spans="1:5" s="334" customFormat="1">
      <c r="A642" s="7" t="s">
        <v>590</v>
      </c>
      <c r="B642" s="8" t="s">
        <v>591</v>
      </c>
      <c r="C642" s="9">
        <v>42467</v>
      </c>
      <c r="D642" s="10">
        <v>1598.6579999999999</v>
      </c>
      <c r="E642"/>
    </row>
    <row r="643" spans="1:5">
      <c r="A643" s="7" t="s">
        <v>19</v>
      </c>
      <c r="B643" s="8" t="s">
        <v>18</v>
      </c>
      <c r="C643" s="9">
        <v>42467</v>
      </c>
      <c r="D643" s="10">
        <v>3300</v>
      </c>
    </row>
    <row r="644" spans="1:5">
      <c r="A644" s="7" t="s">
        <v>249</v>
      </c>
      <c r="B644" s="8" t="s">
        <v>248</v>
      </c>
      <c r="C644" s="9">
        <v>42467</v>
      </c>
      <c r="D644" s="10">
        <v>2493.201</v>
      </c>
    </row>
    <row r="645" spans="1:5">
      <c r="A645" s="7" t="s">
        <v>630</v>
      </c>
      <c r="B645" s="8" t="s">
        <v>631</v>
      </c>
      <c r="C645" s="9">
        <v>42467</v>
      </c>
      <c r="D645" s="10">
        <v>642.89200000000005</v>
      </c>
    </row>
    <row r="646" spans="1:5">
      <c r="A646" s="7" t="s">
        <v>119</v>
      </c>
      <c r="B646" s="8" t="s">
        <v>118</v>
      </c>
      <c r="C646" s="9">
        <v>42467</v>
      </c>
      <c r="D646" s="10">
        <v>5000</v>
      </c>
    </row>
    <row r="647" spans="1:5">
      <c r="A647" s="7" t="s">
        <v>289</v>
      </c>
      <c r="B647" s="8" t="s">
        <v>288</v>
      </c>
      <c r="C647" s="9">
        <v>42467</v>
      </c>
      <c r="D647" s="10">
        <v>2110</v>
      </c>
    </row>
    <row r="648" spans="1:5">
      <c r="A648" s="7" t="s">
        <v>363</v>
      </c>
      <c r="B648" s="8" t="s">
        <v>362</v>
      </c>
      <c r="C648" s="9">
        <v>42468</v>
      </c>
      <c r="D648" s="10">
        <v>2354.3330000000001</v>
      </c>
    </row>
    <row r="649" spans="1:5">
      <c r="A649" s="7" t="s">
        <v>349</v>
      </c>
      <c r="B649" s="8" t="s">
        <v>348</v>
      </c>
      <c r="C649" s="9">
        <v>42468</v>
      </c>
      <c r="D649" s="10">
        <v>1150</v>
      </c>
    </row>
    <row r="650" spans="1:5">
      <c r="A650" s="7" t="s">
        <v>91</v>
      </c>
      <c r="B650" s="8" t="s">
        <v>90</v>
      </c>
      <c r="C650" s="9">
        <v>42468</v>
      </c>
      <c r="D650" s="10">
        <v>780.82799999999997</v>
      </c>
    </row>
    <row r="651" spans="1:5">
      <c r="A651" s="7" t="s">
        <v>77</v>
      </c>
      <c r="B651" s="8" t="s">
        <v>76</v>
      </c>
      <c r="C651" s="9">
        <v>42468</v>
      </c>
      <c r="D651" s="10">
        <v>1200</v>
      </c>
    </row>
    <row r="652" spans="1:5">
      <c r="A652" s="7" t="s">
        <v>331</v>
      </c>
      <c r="B652" s="8" t="s">
        <v>330</v>
      </c>
      <c r="C652" s="9">
        <v>42468</v>
      </c>
      <c r="D652" s="10">
        <v>614.24800000000005</v>
      </c>
    </row>
    <row r="653" spans="1:5">
      <c r="A653" s="7" t="s">
        <v>604</v>
      </c>
      <c r="B653" s="8" t="s">
        <v>605</v>
      </c>
      <c r="C653" s="9">
        <v>42469</v>
      </c>
      <c r="D653" s="10">
        <v>2637.5239999999999</v>
      </c>
    </row>
    <row r="654" spans="1:5">
      <c r="A654" s="7" t="s">
        <v>201</v>
      </c>
      <c r="B654" s="8" t="s">
        <v>200</v>
      </c>
      <c r="C654" s="9">
        <v>42469</v>
      </c>
      <c r="D654" s="10">
        <v>103.072</v>
      </c>
    </row>
    <row r="655" spans="1:5">
      <c r="A655" s="7" t="s">
        <v>626</v>
      </c>
      <c r="B655" s="8" t="s">
        <v>627</v>
      </c>
      <c r="C655" s="9">
        <v>42470</v>
      </c>
      <c r="D655" s="10">
        <v>526.95600000000002</v>
      </c>
    </row>
    <row r="656" spans="1:5">
      <c r="A656" s="7" t="s">
        <v>243</v>
      </c>
      <c r="B656" s="8" t="s">
        <v>242</v>
      </c>
      <c r="C656" s="9">
        <v>42470</v>
      </c>
      <c r="D656" s="10">
        <v>2593.7350000000001</v>
      </c>
    </row>
    <row r="657" spans="1:4">
      <c r="A657" s="7" t="s">
        <v>287</v>
      </c>
      <c r="B657" s="8" t="s">
        <v>286</v>
      </c>
      <c r="C657" s="9">
        <v>42470</v>
      </c>
      <c r="D657" s="10">
        <v>1211</v>
      </c>
    </row>
    <row r="658" spans="1:4">
      <c r="A658" s="7" t="s">
        <v>81</v>
      </c>
      <c r="B658" s="8" t="s">
        <v>80</v>
      </c>
      <c r="C658" s="9">
        <v>42470</v>
      </c>
      <c r="D658" s="10">
        <v>2083.6280000000002</v>
      </c>
    </row>
    <row r="659" spans="1:4">
      <c r="A659" s="7" t="s">
        <v>393</v>
      </c>
      <c r="B659" s="8" t="s">
        <v>392</v>
      </c>
      <c r="C659" s="9">
        <v>42470</v>
      </c>
      <c r="D659" s="10">
        <v>1276.8040000000001</v>
      </c>
    </row>
    <row r="660" spans="1:4">
      <c r="A660" s="7" t="s">
        <v>53</v>
      </c>
      <c r="B660" s="8" t="s">
        <v>52</v>
      </c>
      <c r="C660" s="9">
        <v>42470</v>
      </c>
      <c r="D660" s="10">
        <v>770.66399999999999</v>
      </c>
    </row>
    <row r="661" spans="1:4">
      <c r="A661" s="7" t="s">
        <v>151</v>
      </c>
      <c r="B661" s="8" t="s">
        <v>150</v>
      </c>
      <c r="C661" s="9">
        <v>42470</v>
      </c>
      <c r="D661" s="10">
        <v>914.76</v>
      </c>
    </row>
    <row r="662" spans="1:4">
      <c r="A662" s="7" t="s">
        <v>367</v>
      </c>
      <c r="B662" s="8" t="s">
        <v>366</v>
      </c>
      <c r="C662" s="9">
        <v>42470</v>
      </c>
      <c r="D662" s="10">
        <v>2000</v>
      </c>
    </row>
    <row r="663" spans="1:4">
      <c r="A663" s="7" t="s">
        <v>323</v>
      </c>
      <c r="B663" s="8" t="s">
        <v>322</v>
      </c>
      <c r="C663" s="9">
        <v>42470</v>
      </c>
      <c r="D663" s="10">
        <v>3124.7860000000001</v>
      </c>
    </row>
    <row r="664" spans="1:4">
      <c r="A664" s="7" t="s">
        <v>115</v>
      </c>
      <c r="B664" s="8" t="s">
        <v>114</v>
      </c>
      <c r="C664" s="9">
        <v>42470</v>
      </c>
      <c r="D664" s="10">
        <v>3000</v>
      </c>
    </row>
    <row r="665" spans="1:4">
      <c r="A665" s="7" t="s">
        <v>253</v>
      </c>
      <c r="B665" s="8" t="s">
        <v>252</v>
      </c>
      <c r="C665" s="9">
        <v>42470</v>
      </c>
      <c r="D665" s="10">
        <v>849.54499999999996</v>
      </c>
    </row>
    <row r="666" spans="1:4">
      <c r="A666" s="7" t="s">
        <v>73</v>
      </c>
      <c r="B666" s="8" t="s">
        <v>72</v>
      </c>
      <c r="C666" s="9">
        <v>42470</v>
      </c>
      <c r="D666" s="10">
        <v>415</v>
      </c>
    </row>
    <row r="667" spans="1:4">
      <c r="A667" s="7" t="s">
        <v>321</v>
      </c>
      <c r="B667" s="8" t="s">
        <v>320</v>
      </c>
      <c r="C667" s="9">
        <v>42470</v>
      </c>
      <c r="D667" s="10">
        <v>3353.5709999999999</v>
      </c>
    </row>
    <row r="668" spans="1:4">
      <c r="A668" s="7" t="s">
        <v>666</v>
      </c>
      <c r="B668" s="8" t="s">
        <v>667</v>
      </c>
      <c r="C668" s="9">
        <v>42470</v>
      </c>
      <c r="D668" s="10">
        <v>1846.114</v>
      </c>
    </row>
    <row r="669" spans="1:4">
      <c r="A669" s="7" t="s">
        <v>45</v>
      </c>
      <c r="B669" s="8" t="s">
        <v>44</v>
      </c>
      <c r="C669" s="9">
        <v>42470</v>
      </c>
      <c r="D669" s="10">
        <v>1400</v>
      </c>
    </row>
    <row r="670" spans="1:4">
      <c r="A670" s="7" t="s">
        <v>43</v>
      </c>
      <c r="B670" s="8" t="s">
        <v>42</v>
      </c>
      <c r="C670" s="9">
        <v>42470</v>
      </c>
      <c r="D670" s="10">
        <v>4150</v>
      </c>
    </row>
    <row r="671" spans="1:4">
      <c r="A671" s="7" t="s">
        <v>283</v>
      </c>
      <c r="B671" s="8" t="s">
        <v>282</v>
      </c>
      <c r="C671" s="9">
        <v>42470</v>
      </c>
      <c r="D671" s="10">
        <v>2045.0609999999999</v>
      </c>
    </row>
    <row r="672" spans="1:4">
      <c r="A672" s="7" t="s">
        <v>165</v>
      </c>
      <c r="B672" s="8" t="s">
        <v>164</v>
      </c>
      <c r="C672" s="9">
        <v>42470</v>
      </c>
      <c r="D672" s="10">
        <v>650</v>
      </c>
    </row>
    <row r="673" spans="1:4">
      <c r="A673" s="7" t="s">
        <v>31</v>
      </c>
      <c r="B673" s="8" t="s">
        <v>30</v>
      </c>
      <c r="C673" s="9">
        <v>42470</v>
      </c>
      <c r="D673" s="10">
        <v>700</v>
      </c>
    </row>
    <row r="674" spans="1:4">
      <c r="A674" s="7" t="s">
        <v>23</v>
      </c>
      <c r="B674" s="8" t="s">
        <v>22</v>
      </c>
      <c r="C674" s="9">
        <v>42470</v>
      </c>
      <c r="D674" s="10">
        <v>1365.0219999999999</v>
      </c>
    </row>
    <row r="675" spans="1:4">
      <c r="A675" s="7" t="s">
        <v>275</v>
      </c>
      <c r="B675" s="8" t="s">
        <v>274</v>
      </c>
      <c r="C675" s="9">
        <v>42470</v>
      </c>
      <c r="D675" s="10">
        <v>912</v>
      </c>
    </row>
    <row r="676" spans="1:4">
      <c r="A676" s="7" t="s">
        <v>281</v>
      </c>
      <c r="B676" s="8" t="s">
        <v>280</v>
      </c>
      <c r="C676" s="9">
        <v>42470</v>
      </c>
      <c r="D676" s="10">
        <v>400</v>
      </c>
    </row>
    <row r="677" spans="1:4">
      <c r="A677" s="7" t="s">
        <v>225</v>
      </c>
      <c r="B677" s="8" t="s">
        <v>224</v>
      </c>
      <c r="C677" s="9">
        <v>42470</v>
      </c>
      <c r="D677" s="10">
        <v>785</v>
      </c>
    </row>
    <row r="678" spans="1:4">
      <c r="A678" s="7" t="s">
        <v>303</v>
      </c>
      <c r="B678" s="8" t="s">
        <v>302</v>
      </c>
      <c r="C678" s="9">
        <v>42471</v>
      </c>
      <c r="D678" s="10">
        <v>1500</v>
      </c>
    </row>
    <row r="679" spans="1:4">
      <c r="A679" s="7" t="s">
        <v>251</v>
      </c>
      <c r="B679" s="8" t="s">
        <v>250</v>
      </c>
      <c r="C679" s="9">
        <v>42471</v>
      </c>
      <c r="D679" s="10">
        <v>1027.2239999999999</v>
      </c>
    </row>
    <row r="680" spans="1:4">
      <c r="A680" s="7" t="s">
        <v>77</v>
      </c>
      <c r="B680" s="8" t="s">
        <v>76</v>
      </c>
      <c r="C680" s="9">
        <v>42471</v>
      </c>
      <c r="D680" s="10">
        <v>629.38800000000003</v>
      </c>
    </row>
    <row r="681" spans="1:4">
      <c r="A681" s="7" t="s">
        <v>227</v>
      </c>
      <c r="B681" s="8" t="s">
        <v>226</v>
      </c>
      <c r="C681" s="9">
        <v>42471</v>
      </c>
      <c r="D681" s="10">
        <v>620</v>
      </c>
    </row>
    <row r="682" spans="1:4">
      <c r="A682" s="7" t="s">
        <v>299</v>
      </c>
      <c r="B682" s="8" t="s">
        <v>298</v>
      </c>
      <c r="C682" s="9">
        <v>42471</v>
      </c>
      <c r="D682" s="10">
        <v>553.75</v>
      </c>
    </row>
    <row r="683" spans="1:4">
      <c r="A683" s="7" t="s">
        <v>291</v>
      </c>
      <c r="B683" s="8" t="s">
        <v>290</v>
      </c>
      <c r="C683" s="9">
        <v>42472</v>
      </c>
      <c r="D683" s="10">
        <v>1392.768</v>
      </c>
    </row>
    <row r="684" spans="1:4">
      <c r="A684" s="7" t="s">
        <v>808</v>
      </c>
      <c r="B684" s="8" t="s">
        <v>809</v>
      </c>
      <c r="C684" s="9">
        <v>42472</v>
      </c>
      <c r="D684" s="10">
        <v>200</v>
      </c>
    </row>
    <row r="685" spans="1:4">
      <c r="A685" s="7" t="s">
        <v>417</v>
      </c>
      <c r="B685" s="8" t="s">
        <v>416</v>
      </c>
      <c r="C685" s="9">
        <v>42472</v>
      </c>
      <c r="D685" s="10">
        <v>955.98099999999999</v>
      </c>
    </row>
    <row r="686" spans="1:4">
      <c r="A686" s="7" t="s">
        <v>578</v>
      </c>
      <c r="B686" s="8" t="s">
        <v>579</v>
      </c>
      <c r="C686" s="9">
        <v>42473</v>
      </c>
      <c r="D686" s="10">
        <v>7864.6170000000002</v>
      </c>
    </row>
    <row r="687" spans="1:4">
      <c r="A687" s="7" t="s">
        <v>630</v>
      </c>
      <c r="B687" s="8" t="s">
        <v>631</v>
      </c>
      <c r="C687" s="9">
        <v>42473</v>
      </c>
      <c r="D687" s="10">
        <v>500</v>
      </c>
    </row>
    <row r="688" spans="1:4">
      <c r="A688" s="7" t="s">
        <v>634</v>
      </c>
      <c r="B688" s="8" t="s">
        <v>635</v>
      </c>
      <c r="C688" s="9">
        <v>42474</v>
      </c>
      <c r="D688" s="10">
        <v>3335.875</v>
      </c>
    </row>
    <row r="689" spans="1:4">
      <c r="A689" s="7" t="s">
        <v>229</v>
      </c>
      <c r="B689" s="8" t="s">
        <v>228</v>
      </c>
      <c r="C689" s="9">
        <v>42474</v>
      </c>
      <c r="D689" s="10">
        <v>360</v>
      </c>
    </row>
    <row r="690" spans="1:4">
      <c r="A690" s="7" t="s">
        <v>289</v>
      </c>
      <c r="B690" s="8" t="s">
        <v>288</v>
      </c>
      <c r="C690" s="9">
        <v>42474</v>
      </c>
      <c r="D690" s="10">
        <v>2120</v>
      </c>
    </row>
    <row r="691" spans="1:4">
      <c r="A691" s="7" t="s">
        <v>269</v>
      </c>
      <c r="B691" s="8" t="s">
        <v>268</v>
      </c>
      <c r="C691" s="9">
        <v>42475</v>
      </c>
      <c r="D691" s="10">
        <v>1000</v>
      </c>
    </row>
    <row r="692" spans="1:4">
      <c r="A692" s="7" t="s">
        <v>145</v>
      </c>
      <c r="B692" s="8" t="s">
        <v>144</v>
      </c>
      <c r="C692" s="9">
        <v>42475</v>
      </c>
      <c r="D692" s="10">
        <v>671.83799999999997</v>
      </c>
    </row>
    <row r="693" spans="1:4">
      <c r="A693" s="7" t="s">
        <v>63</v>
      </c>
      <c r="B693" s="8" t="s">
        <v>62</v>
      </c>
      <c r="C693" s="9">
        <v>42475</v>
      </c>
      <c r="D693" s="10">
        <v>2182.4940000000001</v>
      </c>
    </row>
    <row r="694" spans="1:4">
      <c r="A694" s="7" t="s">
        <v>259</v>
      </c>
      <c r="B694" s="8" t="s">
        <v>258</v>
      </c>
      <c r="C694" s="9">
        <v>42475</v>
      </c>
      <c r="D694" s="10">
        <v>2026.35</v>
      </c>
    </row>
    <row r="695" spans="1:4">
      <c r="A695" s="7" t="s">
        <v>19</v>
      </c>
      <c r="B695" s="8" t="s">
        <v>18</v>
      </c>
      <c r="C695" s="9">
        <v>42475</v>
      </c>
      <c r="D695" s="10">
        <v>3300</v>
      </c>
    </row>
    <row r="696" spans="1:4">
      <c r="A696" s="7" t="s">
        <v>129</v>
      </c>
      <c r="B696" s="8" t="s">
        <v>128</v>
      </c>
      <c r="C696" s="9">
        <v>42475</v>
      </c>
      <c r="D696" s="10">
        <v>3254.6</v>
      </c>
    </row>
    <row r="697" spans="1:4">
      <c r="A697" s="7" t="s">
        <v>93</v>
      </c>
      <c r="B697" s="8" t="s">
        <v>92</v>
      </c>
      <c r="C697" s="9">
        <v>42475</v>
      </c>
      <c r="D697" s="10">
        <v>831.03899999999999</v>
      </c>
    </row>
    <row r="698" spans="1:4">
      <c r="A698" s="7" t="s">
        <v>121</v>
      </c>
      <c r="B698" s="8" t="s">
        <v>120</v>
      </c>
      <c r="C698" s="9">
        <v>42475</v>
      </c>
      <c r="D698" s="10">
        <v>2200</v>
      </c>
    </row>
    <row r="699" spans="1:4">
      <c r="A699" s="7" t="s">
        <v>327</v>
      </c>
      <c r="B699" s="8" t="s">
        <v>326</v>
      </c>
      <c r="C699" s="9">
        <v>42475</v>
      </c>
      <c r="D699" s="10">
        <v>785.35</v>
      </c>
    </row>
    <row r="700" spans="1:4">
      <c r="A700" s="7" t="s">
        <v>119</v>
      </c>
      <c r="B700" s="8" t="s">
        <v>118</v>
      </c>
      <c r="C700" s="9">
        <v>42475</v>
      </c>
      <c r="D700" s="10">
        <v>5000</v>
      </c>
    </row>
    <row r="701" spans="1:4">
      <c r="A701" s="7" t="s">
        <v>79</v>
      </c>
      <c r="B701" s="8" t="s">
        <v>78</v>
      </c>
      <c r="C701" s="9">
        <v>42475</v>
      </c>
      <c r="D701" s="10">
        <v>3489.6060000000002</v>
      </c>
    </row>
    <row r="702" spans="1:4">
      <c r="A702" s="7" t="s">
        <v>241</v>
      </c>
      <c r="B702" s="8" t="s">
        <v>240</v>
      </c>
      <c r="C702" s="9">
        <v>42475</v>
      </c>
      <c r="D702" s="10">
        <v>659.31200000000001</v>
      </c>
    </row>
    <row r="703" spans="1:4">
      <c r="A703" s="7" t="s">
        <v>73</v>
      </c>
      <c r="B703" s="8" t="s">
        <v>72</v>
      </c>
      <c r="C703" s="9">
        <v>42475</v>
      </c>
      <c r="D703" s="10">
        <v>415</v>
      </c>
    </row>
    <row r="704" spans="1:4">
      <c r="A704" s="7" t="s">
        <v>391</v>
      </c>
      <c r="B704" s="8" t="s">
        <v>390</v>
      </c>
      <c r="C704" s="9">
        <v>42475</v>
      </c>
      <c r="D704" s="10">
        <v>1630.4359999999999</v>
      </c>
    </row>
    <row r="705" spans="1:5">
      <c r="A705" s="7" t="s">
        <v>35</v>
      </c>
      <c r="B705" s="8" t="s">
        <v>34</v>
      </c>
      <c r="C705" s="9">
        <v>42475</v>
      </c>
      <c r="D705" s="10">
        <v>1500</v>
      </c>
    </row>
    <row r="706" spans="1:5" s="334" customFormat="1">
      <c r="A706" s="7" t="s">
        <v>53</v>
      </c>
      <c r="B706" s="8" t="s">
        <v>52</v>
      </c>
      <c r="C706" s="9">
        <v>42475</v>
      </c>
      <c r="D706" s="10">
        <v>609.17700000000002</v>
      </c>
      <c r="E706"/>
    </row>
    <row r="707" spans="1:5">
      <c r="A707" s="7" t="s">
        <v>847</v>
      </c>
      <c r="B707" s="8" t="s">
        <v>848</v>
      </c>
      <c r="C707" s="9">
        <v>42475</v>
      </c>
      <c r="D707" s="10">
        <v>1655</v>
      </c>
    </row>
    <row r="708" spans="1:5">
      <c r="A708" s="7" t="s">
        <v>29</v>
      </c>
      <c r="B708" s="8" t="s">
        <v>28</v>
      </c>
      <c r="C708" s="9">
        <v>42475</v>
      </c>
      <c r="D708" s="10">
        <v>2000</v>
      </c>
    </row>
    <row r="709" spans="1:5">
      <c r="A709" s="7" t="s">
        <v>307</v>
      </c>
      <c r="B709" s="8" t="s">
        <v>306</v>
      </c>
      <c r="C709" s="9">
        <v>42475</v>
      </c>
      <c r="D709" s="10">
        <v>3516.2</v>
      </c>
    </row>
    <row r="710" spans="1:5">
      <c r="A710" s="7" t="s">
        <v>225</v>
      </c>
      <c r="B710" s="8" t="s">
        <v>224</v>
      </c>
      <c r="C710" s="9">
        <v>42475</v>
      </c>
      <c r="D710" s="10">
        <v>780</v>
      </c>
    </row>
    <row r="711" spans="1:5">
      <c r="A711" s="7" t="s">
        <v>245</v>
      </c>
      <c r="B711" s="8" t="s">
        <v>244</v>
      </c>
      <c r="C711" s="9">
        <v>42476</v>
      </c>
      <c r="D711" s="10">
        <v>1230.797</v>
      </c>
    </row>
    <row r="712" spans="1:5">
      <c r="A712" s="7" t="s">
        <v>35</v>
      </c>
      <c r="B712" s="8" t="s">
        <v>34</v>
      </c>
      <c r="C712" s="9">
        <v>42476</v>
      </c>
      <c r="D712" s="10">
        <v>2489.0329999999999</v>
      </c>
    </row>
    <row r="713" spans="1:5">
      <c r="A713" s="7" t="s">
        <v>229</v>
      </c>
      <c r="B713" s="8" t="s">
        <v>228</v>
      </c>
      <c r="C713" s="9">
        <v>42476</v>
      </c>
      <c r="D713" s="10">
        <v>360</v>
      </c>
    </row>
    <row r="714" spans="1:5">
      <c r="A714" s="7" t="s">
        <v>255</v>
      </c>
      <c r="B714" s="8" t="s">
        <v>254</v>
      </c>
      <c r="C714" s="9">
        <v>42476</v>
      </c>
      <c r="D714" s="10">
        <v>1942.6679999999999</v>
      </c>
    </row>
    <row r="715" spans="1:5" s="334" customFormat="1">
      <c r="A715" s="7" t="s">
        <v>85</v>
      </c>
      <c r="B715" s="8" t="s">
        <v>84</v>
      </c>
      <c r="C715" s="9">
        <v>42477</v>
      </c>
      <c r="D715" s="10">
        <v>1036</v>
      </c>
      <c r="E715"/>
    </row>
    <row r="716" spans="1:5">
      <c r="A716" s="7" t="s">
        <v>630</v>
      </c>
      <c r="B716" s="8" t="s">
        <v>631</v>
      </c>
      <c r="C716" s="9">
        <v>42477</v>
      </c>
      <c r="D716" s="10">
        <v>500</v>
      </c>
    </row>
    <row r="717" spans="1:5">
      <c r="A717" s="7" t="s">
        <v>303</v>
      </c>
      <c r="B717" s="8" t="s">
        <v>302</v>
      </c>
      <c r="C717" s="9">
        <v>42477</v>
      </c>
      <c r="D717" s="10">
        <v>1499.3689999999999</v>
      </c>
    </row>
    <row r="718" spans="1:5" s="334" customFormat="1">
      <c r="A718" s="7" t="s">
        <v>15</v>
      </c>
      <c r="B718" s="8" t="s">
        <v>14</v>
      </c>
      <c r="C718" s="9">
        <v>42478</v>
      </c>
      <c r="D718" s="10">
        <v>4300</v>
      </c>
      <c r="E718"/>
    </row>
    <row r="719" spans="1:5">
      <c r="A719" s="7" t="s">
        <v>586</v>
      </c>
      <c r="B719" s="8" t="s">
        <v>587</v>
      </c>
      <c r="C719" s="9">
        <v>42478</v>
      </c>
      <c r="D719" s="10">
        <v>230</v>
      </c>
    </row>
    <row r="720" spans="1:5" s="334" customFormat="1">
      <c r="A720" s="7" t="s">
        <v>243</v>
      </c>
      <c r="B720" s="8" t="s">
        <v>242</v>
      </c>
      <c r="C720" s="9">
        <v>42478</v>
      </c>
      <c r="D720" s="10">
        <v>3850</v>
      </c>
      <c r="E720"/>
    </row>
    <row r="721" spans="1:4">
      <c r="A721" s="7" t="s">
        <v>227</v>
      </c>
      <c r="B721" s="8" t="s">
        <v>226</v>
      </c>
      <c r="C721" s="9">
        <v>42478</v>
      </c>
      <c r="D721" s="10">
        <v>630</v>
      </c>
    </row>
    <row r="722" spans="1:4">
      <c r="A722" s="7" t="s">
        <v>299</v>
      </c>
      <c r="B722" s="8" t="s">
        <v>298</v>
      </c>
      <c r="C722" s="9">
        <v>42478</v>
      </c>
      <c r="D722" s="10">
        <v>553.75</v>
      </c>
    </row>
    <row r="723" spans="1:4">
      <c r="A723" s="7" t="s">
        <v>43</v>
      </c>
      <c r="B723" s="8" t="s">
        <v>42</v>
      </c>
      <c r="C723" s="9">
        <v>42478</v>
      </c>
      <c r="D723" s="10">
        <v>3400</v>
      </c>
    </row>
    <row r="724" spans="1:4">
      <c r="A724" s="7" t="s">
        <v>267</v>
      </c>
      <c r="B724" s="8" t="s">
        <v>266</v>
      </c>
      <c r="C724" s="9">
        <v>42479</v>
      </c>
      <c r="D724" s="10">
        <v>393.61</v>
      </c>
    </row>
    <row r="725" spans="1:4">
      <c r="A725" s="7" t="s">
        <v>113</v>
      </c>
      <c r="B725" s="8" t="s">
        <v>112</v>
      </c>
      <c r="C725" s="9">
        <v>42480</v>
      </c>
      <c r="D725" s="10">
        <v>2500</v>
      </c>
    </row>
    <row r="726" spans="1:4">
      <c r="A726" s="7" t="s">
        <v>145</v>
      </c>
      <c r="B726" s="8" t="s">
        <v>144</v>
      </c>
      <c r="C726" s="9">
        <v>42480</v>
      </c>
      <c r="D726" s="10">
        <v>669.4</v>
      </c>
    </row>
    <row r="727" spans="1:4">
      <c r="A727" s="7" t="s">
        <v>5</v>
      </c>
      <c r="B727" s="8" t="s">
        <v>4</v>
      </c>
      <c r="C727" s="9">
        <v>42480</v>
      </c>
      <c r="D727" s="10">
        <v>612</v>
      </c>
    </row>
    <row r="728" spans="1:4">
      <c r="A728" s="7" t="s">
        <v>47</v>
      </c>
      <c r="B728" s="8" t="s">
        <v>46</v>
      </c>
      <c r="C728" s="9">
        <v>42480</v>
      </c>
      <c r="D728" s="10">
        <v>500</v>
      </c>
    </row>
    <row r="729" spans="1:4">
      <c r="A729" s="7" t="s">
        <v>367</v>
      </c>
      <c r="B729" s="8" t="s">
        <v>366</v>
      </c>
      <c r="C729" s="9">
        <v>42480</v>
      </c>
      <c r="D729" s="10">
        <v>2000</v>
      </c>
    </row>
    <row r="730" spans="1:4">
      <c r="A730" s="7" t="s">
        <v>293</v>
      </c>
      <c r="B730" s="8" t="s">
        <v>292</v>
      </c>
      <c r="C730" s="9">
        <v>42480</v>
      </c>
      <c r="D730" s="10">
        <v>1255.8399999999999</v>
      </c>
    </row>
    <row r="731" spans="1:4">
      <c r="A731" s="7" t="s">
        <v>77</v>
      </c>
      <c r="B731" s="8" t="s">
        <v>76</v>
      </c>
      <c r="C731" s="9">
        <v>42480</v>
      </c>
      <c r="D731" s="10">
        <v>1100</v>
      </c>
    </row>
    <row r="732" spans="1:4">
      <c r="A732" s="7" t="s">
        <v>171</v>
      </c>
      <c r="B732" s="8" t="s">
        <v>170</v>
      </c>
      <c r="C732" s="9">
        <v>42480</v>
      </c>
      <c r="D732" s="10">
        <v>250</v>
      </c>
    </row>
    <row r="733" spans="1:4">
      <c r="A733" s="7" t="s">
        <v>73</v>
      </c>
      <c r="B733" s="8" t="s">
        <v>72</v>
      </c>
      <c r="C733" s="9">
        <v>42480</v>
      </c>
      <c r="D733" s="10">
        <v>415</v>
      </c>
    </row>
    <row r="734" spans="1:4">
      <c r="A734" s="7" t="s">
        <v>53</v>
      </c>
      <c r="B734" s="8" t="s">
        <v>52</v>
      </c>
      <c r="C734" s="9">
        <v>42480</v>
      </c>
      <c r="D734" s="10">
        <v>609.17700000000002</v>
      </c>
    </row>
    <row r="735" spans="1:4">
      <c r="A735" s="7" t="s">
        <v>165</v>
      </c>
      <c r="B735" s="8" t="s">
        <v>164</v>
      </c>
      <c r="C735" s="9">
        <v>42480</v>
      </c>
      <c r="D735" s="10">
        <v>611.35699999999997</v>
      </c>
    </row>
    <row r="736" spans="1:4">
      <c r="A736" s="7" t="s">
        <v>29</v>
      </c>
      <c r="B736" s="8" t="s">
        <v>28</v>
      </c>
      <c r="C736" s="9">
        <v>42480</v>
      </c>
      <c r="D736" s="10">
        <v>2000</v>
      </c>
    </row>
    <row r="737" spans="1:4">
      <c r="A737" s="7" t="s">
        <v>31</v>
      </c>
      <c r="B737" s="8" t="s">
        <v>30</v>
      </c>
      <c r="C737" s="9">
        <v>42480</v>
      </c>
      <c r="D737" s="10">
        <v>700</v>
      </c>
    </row>
    <row r="738" spans="1:4">
      <c r="A738" s="7" t="s">
        <v>23</v>
      </c>
      <c r="B738" s="8" t="s">
        <v>22</v>
      </c>
      <c r="C738" s="9">
        <v>42480</v>
      </c>
      <c r="D738" s="10">
        <v>1423.249</v>
      </c>
    </row>
    <row r="739" spans="1:4">
      <c r="A739" s="7" t="s">
        <v>275</v>
      </c>
      <c r="B739" s="8" t="s">
        <v>274</v>
      </c>
      <c r="C739" s="9">
        <v>42480</v>
      </c>
      <c r="D739" s="10">
        <v>912</v>
      </c>
    </row>
    <row r="740" spans="1:4">
      <c r="A740" s="7" t="s">
        <v>281</v>
      </c>
      <c r="B740" s="8" t="s">
        <v>280</v>
      </c>
      <c r="C740" s="9">
        <v>42480</v>
      </c>
      <c r="D740" s="10">
        <v>400</v>
      </c>
    </row>
    <row r="741" spans="1:4">
      <c r="A741" s="7" t="s">
        <v>245</v>
      </c>
      <c r="B741" s="8" t="s">
        <v>244</v>
      </c>
      <c r="C741" s="9">
        <v>42481</v>
      </c>
      <c r="D741" s="10">
        <v>1660.797</v>
      </c>
    </row>
    <row r="742" spans="1:4">
      <c r="A742" s="7" t="s">
        <v>5</v>
      </c>
      <c r="B742" s="8" t="s">
        <v>4</v>
      </c>
      <c r="C742" s="9">
        <v>42481</v>
      </c>
      <c r="D742" s="10">
        <v>618</v>
      </c>
    </row>
    <row r="743" spans="1:4">
      <c r="A743" s="7" t="s">
        <v>289</v>
      </c>
      <c r="B743" s="8" t="s">
        <v>288</v>
      </c>
      <c r="C743" s="9">
        <v>42481</v>
      </c>
      <c r="D743" s="10">
        <v>2101.0070000000001</v>
      </c>
    </row>
    <row r="744" spans="1:4">
      <c r="A744" s="7" t="s">
        <v>5</v>
      </c>
      <c r="B744" s="8" t="s">
        <v>4</v>
      </c>
      <c r="C744" s="9">
        <v>42482</v>
      </c>
      <c r="D744" s="10">
        <v>631.54100000000005</v>
      </c>
    </row>
    <row r="745" spans="1:4">
      <c r="A745" s="7" t="s">
        <v>19</v>
      </c>
      <c r="B745" s="8" t="s">
        <v>18</v>
      </c>
      <c r="C745" s="9">
        <v>42482</v>
      </c>
      <c r="D745" s="10">
        <v>3300</v>
      </c>
    </row>
    <row r="746" spans="1:4">
      <c r="A746" s="7" t="s">
        <v>119</v>
      </c>
      <c r="B746" s="8" t="s">
        <v>118</v>
      </c>
      <c r="C746" s="9">
        <v>42482</v>
      </c>
      <c r="D746" s="10">
        <v>5000</v>
      </c>
    </row>
    <row r="747" spans="1:4">
      <c r="A747" s="7" t="s">
        <v>413</v>
      </c>
      <c r="B747" s="8" t="s">
        <v>412</v>
      </c>
      <c r="C747" s="9">
        <v>42482</v>
      </c>
      <c r="D747" s="10">
        <v>620.63699999999994</v>
      </c>
    </row>
    <row r="748" spans="1:4">
      <c r="A748" s="7" t="s">
        <v>594</v>
      </c>
      <c r="B748" s="8" t="s">
        <v>595</v>
      </c>
      <c r="C748" s="9">
        <v>42482</v>
      </c>
      <c r="D748" s="10">
        <v>3338.1129999999998</v>
      </c>
    </row>
    <row r="749" spans="1:4">
      <c r="A749" s="7" t="s">
        <v>303</v>
      </c>
      <c r="B749" s="8" t="s">
        <v>302</v>
      </c>
      <c r="C749" s="9">
        <v>42482</v>
      </c>
      <c r="D749" s="10">
        <v>2000</v>
      </c>
    </row>
    <row r="750" spans="1:4">
      <c r="A750" s="7" t="s">
        <v>225</v>
      </c>
      <c r="B750" s="8" t="s">
        <v>224</v>
      </c>
      <c r="C750" s="9">
        <v>42482</v>
      </c>
      <c r="D750" s="10">
        <v>795</v>
      </c>
    </row>
    <row r="751" spans="1:4">
      <c r="A751" s="7" t="s">
        <v>5</v>
      </c>
      <c r="B751" s="8" t="s">
        <v>4</v>
      </c>
      <c r="C751" s="9">
        <v>42483</v>
      </c>
      <c r="D751" s="10">
        <v>632</v>
      </c>
    </row>
    <row r="752" spans="1:4">
      <c r="A752" s="7" t="s">
        <v>668</v>
      </c>
      <c r="B752" s="8" t="s">
        <v>669</v>
      </c>
      <c r="C752" s="9">
        <v>42483</v>
      </c>
      <c r="D752" s="10">
        <v>1110</v>
      </c>
    </row>
    <row r="753" spans="1:4">
      <c r="A753" s="7" t="s">
        <v>85</v>
      </c>
      <c r="B753" s="8" t="s">
        <v>84</v>
      </c>
      <c r="C753" s="9">
        <v>42483</v>
      </c>
      <c r="D753" s="10">
        <v>1036</v>
      </c>
    </row>
    <row r="754" spans="1:4">
      <c r="A754" s="7" t="s">
        <v>582</v>
      </c>
      <c r="B754" s="8" t="s">
        <v>583</v>
      </c>
      <c r="C754" s="9">
        <v>42483</v>
      </c>
      <c r="D754" s="10">
        <v>888.30399999999997</v>
      </c>
    </row>
    <row r="755" spans="1:4">
      <c r="A755" s="7" t="s">
        <v>5</v>
      </c>
      <c r="B755" s="8" t="s">
        <v>4</v>
      </c>
      <c r="C755" s="9">
        <v>42484</v>
      </c>
      <c r="D755" s="10">
        <v>625</v>
      </c>
    </row>
    <row r="756" spans="1:4">
      <c r="A756" s="7" t="s">
        <v>113</v>
      </c>
      <c r="B756" s="8" t="s">
        <v>112</v>
      </c>
      <c r="C756" s="9">
        <v>42485</v>
      </c>
      <c r="D756" s="10">
        <v>2800</v>
      </c>
    </row>
    <row r="757" spans="1:4">
      <c r="A757" s="7" t="s">
        <v>269</v>
      </c>
      <c r="B757" s="8" t="s">
        <v>268</v>
      </c>
      <c r="C757" s="9">
        <v>42485</v>
      </c>
      <c r="D757" s="10">
        <v>1000</v>
      </c>
    </row>
    <row r="758" spans="1:4">
      <c r="A758" s="7" t="s">
        <v>5</v>
      </c>
      <c r="B758" s="8" t="s">
        <v>4</v>
      </c>
      <c r="C758" s="9">
        <v>42485</v>
      </c>
      <c r="D758" s="10">
        <v>625</v>
      </c>
    </row>
    <row r="759" spans="1:4">
      <c r="A759" s="7" t="s">
        <v>83</v>
      </c>
      <c r="B759" s="8" t="s">
        <v>82</v>
      </c>
      <c r="C759" s="9">
        <v>42485</v>
      </c>
      <c r="D759" s="10">
        <v>4300</v>
      </c>
    </row>
    <row r="760" spans="1:4">
      <c r="A760" s="7" t="s">
        <v>115</v>
      </c>
      <c r="B760" s="8" t="s">
        <v>114</v>
      </c>
      <c r="C760" s="9">
        <v>42485</v>
      </c>
      <c r="D760" s="10">
        <v>3046.4609999999998</v>
      </c>
    </row>
    <row r="761" spans="1:4">
      <c r="A761" s="7" t="s">
        <v>229</v>
      </c>
      <c r="B761" s="8" t="s">
        <v>228</v>
      </c>
      <c r="C761" s="9">
        <v>42485</v>
      </c>
      <c r="D761" s="10">
        <v>360</v>
      </c>
    </row>
    <row r="762" spans="1:4">
      <c r="A762" s="7" t="s">
        <v>243</v>
      </c>
      <c r="B762" s="8" t="s">
        <v>242</v>
      </c>
      <c r="C762" s="9">
        <v>42485</v>
      </c>
      <c r="D762" s="10">
        <v>3850</v>
      </c>
    </row>
    <row r="763" spans="1:4">
      <c r="A763" s="7" t="s">
        <v>73</v>
      </c>
      <c r="B763" s="8" t="s">
        <v>72</v>
      </c>
      <c r="C763" s="9">
        <v>42485</v>
      </c>
      <c r="D763" s="10">
        <v>415</v>
      </c>
    </row>
    <row r="764" spans="1:4">
      <c r="A764" s="7" t="s">
        <v>227</v>
      </c>
      <c r="B764" s="8" t="s">
        <v>226</v>
      </c>
      <c r="C764" s="9">
        <v>42485</v>
      </c>
      <c r="D764" s="10">
        <v>640</v>
      </c>
    </row>
    <row r="765" spans="1:4">
      <c r="A765" s="7" t="s">
        <v>299</v>
      </c>
      <c r="B765" s="8" t="s">
        <v>298</v>
      </c>
      <c r="C765" s="9">
        <v>42485</v>
      </c>
      <c r="D765" s="10">
        <v>553.75</v>
      </c>
    </row>
    <row r="766" spans="1:4">
      <c r="A766" s="7" t="s">
        <v>847</v>
      </c>
      <c r="B766" s="8" t="s">
        <v>848</v>
      </c>
      <c r="C766" s="9">
        <v>42485</v>
      </c>
      <c r="D766" s="10">
        <v>1654.1880000000001</v>
      </c>
    </row>
    <row r="767" spans="1:4">
      <c r="A767" s="7" t="s">
        <v>29</v>
      </c>
      <c r="B767" s="8" t="s">
        <v>28</v>
      </c>
      <c r="C767" s="9">
        <v>42485</v>
      </c>
      <c r="D767" s="10">
        <v>2000</v>
      </c>
    </row>
    <row r="768" spans="1:4">
      <c r="A768" s="7" t="s">
        <v>307</v>
      </c>
      <c r="B768" s="8" t="s">
        <v>306</v>
      </c>
      <c r="C768" s="9">
        <v>42485</v>
      </c>
      <c r="D768" s="10">
        <v>3000</v>
      </c>
    </row>
    <row r="769" spans="1:4">
      <c r="A769" s="7" t="s">
        <v>245</v>
      </c>
      <c r="B769" s="8" t="s">
        <v>244</v>
      </c>
      <c r="C769" s="9">
        <v>42486</v>
      </c>
      <c r="D769" s="10">
        <v>1660.797</v>
      </c>
    </row>
    <row r="770" spans="1:4">
      <c r="A770" s="7" t="s">
        <v>267</v>
      </c>
      <c r="B770" s="8" t="s">
        <v>266</v>
      </c>
      <c r="C770" s="9">
        <v>42486</v>
      </c>
      <c r="D770" s="10">
        <v>393.61</v>
      </c>
    </row>
    <row r="771" spans="1:4">
      <c r="A771" s="7" t="s">
        <v>17</v>
      </c>
      <c r="B771" s="8" t="s">
        <v>16</v>
      </c>
      <c r="C771" s="9">
        <v>42486</v>
      </c>
      <c r="D771" s="10">
        <v>2070.038</v>
      </c>
    </row>
    <row r="772" spans="1:4">
      <c r="A772" s="7" t="s">
        <v>221</v>
      </c>
      <c r="B772" s="8" t="s">
        <v>220</v>
      </c>
      <c r="C772" s="9">
        <v>42488</v>
      </c>
      <c r="D772" s="10">
        <v>2868.3989999999999</v>
      </c>
    </row>
    <row r="773" spans="1:4">
      <c r="A773" s="7" t="s">
        <v>229</v>
      </c>
      <c r="B773" s="8" t="s">
        <v>228</v>
      </c>
      <c r="C773" s="9">
        <v>42489</v>
      </c>
      <c r="D773" s="10">
        <v>360.44400000000002</v>
      </c>
    </row>
    <row r="774" spans="1:4">
      <c r="A774" s="7" t="s">
        <v>225</v>
      </c>
      <c r="B774" s="8" t="s">
        <v>224</v>
      </c>
      <c r="C774" s="9">
        <v>42489</v>
      </c>
      <c r="D774" s="10">
        <v>790</v>
      </c>
    </row>
    <row r="775" spans="1:4">
      <c r="A775" s="7" t="s">
        <v>662</v>
      </c>
      <c r="B775" s="8" t="s">
        <v>663</v>
      </c>
      <c r="C775" s="9">
        <v>42490</v>
      </c>
      <c r="D775" s="10">
        <v>1000</v>
      </c>
    </row>
    <row r="776" spans="1:4">
      <c r="A776" s="7" t="s">
        <v>145</v>
      </c>
      <c r="B776" s="8" t="s">
        <v>144</v>
      </c>
      <c r="C776" s="9">
        <v>42490</v>
      </c>
      <c r="D776" s="10">
        <v>658.76199999999994</v>
      </c>
    </row>
    <row r="777" spans="1:4">
      <c r="A777" s="7" t="s">
        <v>85</v>
      </c>
      <c r="B777" s="8" t="s">
        <v>84</v>
      </c>
      <c r="C777" s="9">
        <v>42490</v>
      </c>
      <c r="D777" s="10">
        <v>1037.6569999999999</v>
      </c>
    </row>
    <row r="778" spans="1:4">
      <c r="A778" s="7" t="s">
        <v>83</v>
      </c>
      <c r="B778" s="8" t="s">
        <v>82</v>
      </c>
      <c r="C778" s="9">
        <v>42490</v>
      </c>
      <c r="D778" s="10">
        <v>4324.4059999999999</v>
      </c>
    </row>
    <row r="779" spans="1:4">
      <c r="A779" s="7" t="s">
        <v>47</v>
      </c>
      <c r="B779" s="8" t="s">
        <v>46</v>
      </c>
      <c r="C779" s="9">
        <v>42490</v>
      </c>
      <c r="D779" s="10">
        <v>674.36699999999996</v>
      </c>
    </row>
    <row r="780" spans="1:4">
      <c r="A780" s="7" t="s">
        <v>57</v>
      </c>
      <c r="B780" s="8" t="s">
        <v>56</v>
      </c>
      <c r="C780" s="9">
        <v>42490</v>
      </c>
      <c r="D780" s="10">
        <v>3564.855</v>
      </c>
    </row>
    <row r="781" spans="1:4">
      <c r="A781" s="7" t="s">
        <v>55</v>
      </c>
      <c r="B781" s="8" t="s">
        <v>54</v>
      </c>
      <c r="C781" s="9">
        <v>42490</v>
      </c>
      <c r="D781" s="10">
        <v>4335.6469999999999</v>
      </c>
    </row>
    <row r="782" spans="1:4">
      <c r="A782" s="7" t="s">
        <v>259</v>
      </c>
      <c r="B782" s="8" t="s">
        <v>258</v>
      </c>
      <c r="C782" s="9">
        <v>42490</v>
      </c>
      <c r="D782" s="10">
        <v>3000</v>
      </c>
    </row>
    <row r="783" spans="1:4">
      <c r="A783" s="7" t="s">
        <v>15</v>
      </c>
      <c r="B783" s="8" t="s">
        <v>14</v>
      </c>
      <c r="C783" s="9">
        <v>42490</v>
      </c>
      <c r="D783" s="10">
        <v>4305.4690000000001</v>
      </c>
    </row>
    <row r="784" spans="1:4">
      <c r="A784" s="7" t="s">
        <v>19</v>
      </c>
      <c r="B784" s="8" t="s">
        <v>18</v>
      </c>
      <c r="C784" s="9">
        <v>42490</v>
      </c>
      <c r="D784" s="10">
        <v>3310.7669999999998</v>
      </c>
    </row>
    <row r="785" spans="1:4">
      <c r="A785" s="7" t="s">
        <v>596</v>
      </c>
      <c r="B785" s="8" t="s">
        <v>597</v>
      </c>
      <c r="C785" s="9">
        <v>42490</v>
      </c>
      <c r="D785" s="10">
        <v>700.86099999999999</v>
      </c>
    </row>
    <row r="786" spans="1:4">
      <c r="A786" s="7" t="s">
        <v>113</v>
      </c>
      <c r="B786" s="8" t="s">
        <v>112</v>
      </c>
      <c r="C786" s="9">
        <v>42490</v>
      </c>
      <c r="D786" s="10">
        <v>2500</v>
      </c>
    </row>
    <row r="787" spans="1:4">
      <c r="A787" s="7" t="s">
        <v>223</v>
      </c>
      <c r="B787" s="8" t="s">
        <v>222</v>
      </c>
      <c r="C787" s="9">
        <v>42490</v>
      </c>
      <c r="D787" s="10">
        <v>2000</v>
      </c>
    </row>
    <row r="788" spans="1:4">
      <c r="A788" s="7" t="s">
        <v>117</v>
      </c>
      <c r="B788" s="8" t="s">
        <v>116</v>
      </c>
      <c r="C788" s="9">
        <v>42490</v>
      </c>
      <c r="D788" s="10">
        <v>4500</v>
      </c>
    </row>
    <row r="789" spans="1:4">
      <c r="A789" s="7" t="s">
        <v>143</v>
      </c>
      <c r="B789" s="8" t="s">
        <v>142</v>
      </c>
      <c r="C789" s="9">
        <v>42490</v>
      </c>
      <c r="D789" s="10">
        <v>4208.5020000000004</v>
      </c>
    </row>
    <row r="790" spans="1:4">
      <c r="A790" s="7" t="s">
        <v>207</v>
      </c>
      <c r="B790" s="8" t="s">
        <v>206</v>
      </c>
      <c r="C790" s="9">
        <v>42490</v>
      </c>
      <c r="D790" s="10">
        <v>3500</v>
      </c>
    </row>
    <row r="791" spans="1:4">
      <c r="A791" s="7" t="s">
        <v>199</v>
      </c>
      <c r="B791" s="8" t="s">
        <v>198</v>
      </c>
      <c r="C791" s="9">
        <v>42490</v>
      </c>
      <c r="D791" s="10">
        <v>1908.7529999999999</v>
      </c>
    </row>
    <row r="792" spans="1:4">
      <c r="A792" s="7" t="s">
        <v>129</v>
      </c>
      <c r="B792" s="8" t="s">
        <v>128</v>
      </c>
      <c r="C792" s="9">
        <v>42490</v>
      </c>
      <c r="D792" s="10">
        <v>3254.6</v>
      </c>
    </row>
    <row r="793" spans="1:4">
      <c r="A793" s="7" t="s">
        <v>141</v>
      </c>
      <c r="B793" s="8" t="s">
        <v>140</v>
      </c>
      <c r="C793" s="9">
        <v>42490</v>
      </c>
      <c r="D793" s="10">
        <v>998.41399999999999</v>
      </c>
    </row>
    <row r="794" spans="1:4">
      <c r="A794" s="7" t="s">
        <v>297</v>
      </c>
      <c r="B794" s="8" t="s">
        <v>296</v>
      </c>
      <c r="C794" s="9">
        <v>42490</v>
      </c>
      <c r="D794" s="10">
        <v>1605.7719999999999</v>
      </c>
    </row>
    <row r="795" spans="1:4">
      <c r="A795" s="7" t="s">
        <v>367</v>
      </c>
      <c r="B795" s="8" t="s">
        <v>366</v>
      </c>
      <c r="C795" s="9">
        <v>42490</v>
      </c>
      <c r="D795" s="10">
        <v>2000</v>
      </c>
    </row>
    <row r="796" spans="1:4">
      <c r="A796" s="7" t="s">
        <v>113</v>
      </c>
      <c r="B796" s="8" t="s">
        <v>112</v>
      </c>
      <c r="C796" s="9">
        <v>42490</v>
      </c>
      <c r="D796" s="10">
        <v>2000</v>
      </c>
    </row>
    <row r="797" spans="1:4">
      <c r="A797" s="7" t="s">
        <v>231</v>
      </c>
      <c r="B797" s="8" t="s">
        <v>230</v>
      </c>
      <c r="C797" s="9">
        <v>42490</v>
      </c>
      <c r="D797" s="10">
        <v>940</v>
      </c>
    </row>
    <row r="798" spans="1:4">
      <c r="A798" s="7" t="s">
        <v>121</v>
      </c>
      <c r="B798" s="8" t="s">
        <v>120</v>
      </c>
      <c r="C798" s="9">
        <v>42490</v>
      </c>
      <c r="D798" s="10">
        <v>2180.136</v>
      </c>
    </row>
    <row r="799" spans="1:4">
      <c r="A799" s="7" t="s">
        <v>598</v>
      </c>
      <c r="B799" s="8" t="s">
        <v>599</v>
      </c>
      <c r="C799" s="9">
        <v>42490</v>
      </c>
      <c r="D799" s="10">
        <v>3591.1550000000002</v>
      </c>
    </row>
    <row r="800" spans="1:4">
      <c r="A800" s="7" t="s">
        <v>127</v>
      </c>
      <c r="B800" s="8" t="s">
        <v>126</v>
      </c>
      <c r="C800" s="9">
        <v>42490</v>
      </c>
      <c r="D800" s="10">
        <v>2980.2979999999998</v>
      </c>
    </row>
    <row r="801" spans="1:5">
      <c r="A801" s="7" t="s">
        <v>137</v>
      </c>
      <c r="B801" s="8" t="s">
        <v>136</v>
      </c>
      <c r="C801" s="9">
        <v>42490</v>
      </c>
      <c r="D801" s="10">
        <v>87.378</v>
      </c>
    </row>
    <row r="802" spans="1:5">
      <c r="A802" s="7" t="s">
        <v>111</v>
      </c>
      <c r="B802" s="8" t="s">
        <v>110</v>
      </c>
      <c r="C802" s="9">
        <v>42490</v>
      </c>
      <c r="D802" s="10">
        <v>1218.2249999999999</v>
      </c>
    </row>
    <row r="803" spans="1:5" s="334" customFormat="1">
      <c r="A803" s="7" t="s">
        <v>233</v>
      </c>
      <c r="B803" s="8" t="s">
        <v>232</v>
      </c>
      <c r="C803" s="9">
        <v>42490</v>
      </c>
      <c r="D803" s="10">
        <v>747.19299999999998</v>
      </c>
      <c r="E803"/>
    </row>
    <row r="804" spans="1:5">
      <c r="A804" s="7" t="s">
        <v>409</v>
      </c>
      <c r="B804" s="8" t="s">
        <v>408</v>
      </c>
      <c r="C804" s="9">
        <v>42490</v>
      </c>
      <c r="D804" s="10">
        <v>1095.1859999999999</v>
      </c>
    </row>
    <row r="805" spans="1:5">
      <c r="A805" s="7" t="s">
        <v>135</v>
      </c>
      <c r="B805" s="8" t="s">
        <v>134</v>
      </c>
      <c r="C805" s="9">
        <v>42490</v>
      </c>
      <c r="D805" s="10">
        <v>1228.107</v>
      </c>
    </row>
    <row r="806" spans="1:5">
      <c r="A806" s="7" t="s">
        <v>849</v>
      </c>
      <c r="B806" s="8" t="s">
        <v>850</v>
      </c>
      <c r="C806" s="9">
        <v>42490</v>
      </c>
      <c r="D806" s="10">
        <v>363.541</v>
      </c>
    </row>
    <row r="807" spans="1:5">
      <c r="A807" s="7" t="s">
        <v>131</v>
      </c>
      <c r="B807" s="8" t="s">
        <v>130</v>
      </c>
      <c r="C807" s="9">
        <v>42490</v>
      </c>
      <c r="D807" s="10">
        <v>731.39200000000005</v>
      </c>
    </row>
    <row r="808" spans="1:5">
      <c r="A808" s="7" t="s">
        <v>217</v>
      </c>
      <c r="B808" s="8" t="s">
        <v>216</v>
      </c>
      <c r="C808" s="9">
        <v>42490</v>
      </c>
      <c r="D808" s="10">
        <v>1753.519</v>
      </c>
    </row>
    <row r="809" spans="1:5">
      <c r="A809" s="7" t="s">
        <v>187</v>
      </c>
      <c r="B809" s="8" t="s">
        <v>186</v>
      </c>
      <c r="C809" s="9">
        <v>42490</v>
      </c>
      <c r="D809" s="10">
        <v>1567.6869999999999</v>
      </c>
    </row>
    <row r="810" spans="1:5">
      <c r="A810" s="7" t="s">
        <v>209</v>
      </c>
      <c r="B810" s="8" t="s">
        <v>208</v>
      </c>
      <c r="C810" s="9">
        <v>42490</v>
      </c>
      <c r="D810" s="10">
        <v>3576.1689999999999</v>
      </c>
    </row>
    <row r="811" spans="1:5">
      <c r="A811" s="7" t="s">
        <v>835</v>
      </c>
      <c r="B811" s="8" t="s">
        <v>836</v>
      </c>
      <c r="C811" s="9">
        <v>42490</v>
      </c>
      <c r="D811" s="10">
        <v>359.67599999999999</v>
      </c>
    </row>
    <row r="812" spans="1:5">
      <c r="A812" s="7" t="s">
        <v>119</v>
      </c>
      <c r="B812" s="8" t="s">
        <v>118</v>
      </c>
      <c r="C812" s="9">
        <v>42490</v>
      </c>
      <c r="D812" s="10">
        <v>4258.7089999999998</v>
      </c>
    </row>
    <row r="813" spans="1:5">
      <c r="A813" s="7" t="s">
        <v>403</v>
      </c>
      <c r="B813" s="8" t="s">
        <v>402</v>
      </c>
      <c r="C813" s="9">
        <v>42490</v>
      </c>
      <c r="D813" s="10">
        <v>3127.1770000000001</v>
      </c>
    </row>
    <row r="814" spans="1:5">
      <c r="A814" s="7" t="s">
        <v>401</v>
      </c>
      <c r="B814" s="8" t="s">
        <v>400</v>
      </c>
      <c r="C814" s="9">
        <v>42490</v>
      </c>
      <c r="D814" s="10">
        <v>1340.5350000000001</v>
      </c>
    </row>
    <row r="815" spans="1:5">
      <c r="A815" s="7" t="s">
        <v>235</v>
      </c>
      <c r="B815" s="8" t="s">
        <v>234</v>
      </c>
      <c r="C815" s="9">
        <v>42490</v>
      </c>
      <c r="D815" s="10">
        <v>772.39200000000005</v>
      </c>
    </row>
    <row r="816" spans="1:5">
      <c r="A816" s="7" t="s">
        <v>851</v>
      </c>
      <c r="B816" s="8" t="s">
        <v>852</v>
      </c>
      <c r="C816" s="9">
        <v>42490</v>
      </c>
      <c r="D816" s="10">
        <v>130.21299999999999</v>
      </c>
    </row>
    <row r="817" spans="1:4">
      <c r="A817" s="7" t="s">
        <v>397</v>
      </c>
      <c r="B817" s="8" t="s">
        <v>396</v>
      </c>
      <c r="C817" s="9">
        <v>42490</v>
      </c>
      <c r="D817" s="10">
        <v>2895.2249999999999</v>
      </c>
    </row>
    <row r="818" spans="1:4">
      <c r="A818" s="7" t="s">
        <v>63</v>
      </c>
      <c r="B818" s="8" t="s">
        <v>62</v>
      </c>
      <c r="C818" s="9">
        <v>42490</v>
      </c>
      <c r="D818" s="10">
        <v>1769.0650000000001</v>
      </c>
    </row>
    <row r="819" spans="1:4">
      <c r="A819" s="7" t="s">
        <v>175</v>
      </c>
      <c r="B819" s="8" t="s">
        <v>174</v>
      </c>
      <c r="C819" s="9">
        <v>42490</v>
      </c>
      <c r="D819" s="10">
        <v>1070.4480000000001</v>
      </c>
    </row>
    <row r="820" spans="1:4">
      <c r="A820" s="7" t="s">
        <v>73</v>
      </c>
      <c r="B820" s="8" t="s">
        <v>72</v>
      </c>
      <c r="C820" s="9">
        <v>42490</v>
      </c>
      <c r="D820" s="10">
        <v>411.37700000000001</v>
      </c>
    </row>
    <row r="821" spans="1:4">
      <c r="A821" s="7" t="s">
        <v>399</v>
      </c>
      <c r="B821" s="8" t="s">
        <v>398</v>
      </c>
      <c r="C821" s="9">
        <v>42490</v>
      </c>
      <c r="D821" s="10">
        <v>2059.79</v>
      </c>
    </row>
    <row r="822" spans="1:4">
      <c r="A822" s="7" t="s">
        <v>287</v>
      </c>
      <c r="B822" s="8" t="s">
        <v>286</v>
      </c>
      <c r="C822" s="9">
        <v>42490</v>
      </c>
      <c r="D822" s="10">
        <v>1068</v>
      </c>
    </row>
    <row r="823" spans="1:4">
      <c r="A823" s="7" t="s">
        <v>75</v>
      </c>
      <c r="B823" s="8" t="s">
        <v>74</v>
      </c>
      <c r="C823" s="9">
        <v>42490</v>
      </c>
      <c r="D823" s="10">
        <v>1759.018</v>
      </c>
    </row>
    <row r="824" spans="1:4">
      <c r="A824" s="7" t="s">
        <v>576</v>
      </c>
      <c r="B824" s="8" t="s">
        <v>577</v>
      </c>
      <c r="C824" s="9">
        <v>42490</v>
      </c>
      <c r="D824" s="10">
        <v>1154.9390000000001</v>
      </c>
    </row>
    <row r="825" spans="1:4">
      <c r="A825" s="7" t="s">
        <v>167</v>
      </c>
      <c r="B825" s="8" t="s">
        <v>166</v>
      </c>
      <c r="C825" s="9">
        <v>42490</v>
      </c>
      <c r="D825" s="10">
        <v>3359.4650000000001</v>
      </c>
    </row>
    <row r="826" spans="1:4">
      <c r="A826" s="7" t="s">
        <v>389</v>
      </c>
      <c r="B826" s="8" t="s">
        <v>388</v>
      </c>
      <c r="C826" s="9">
        <v>42490</v>
      </c>
      <c r="D826" s="10">
        <v>3962.4589999999998</v>
      </c>
    </row>
    <row r="827" spans="1:4">
      <c r="A827" s="7" t="s">
        <v>391</v>
      </c>
      <c r="B827" s="8" t="s">
        <v>390</v>
      </c>
      <c r="C827" s="9">
        <v>42490</v>
      </c>
      <c r="D827" s="10">
        <v>1630.4359999999999</v>
      </c>
    </row>
    <row r="828" spans="1:4">
      <c r="A828" s="7" t="s">
        <v>35</v>
      </c>
      <c r="B828" s="8" t="s">
        <v>34</v>
      </c>
      <c r="C828" s="9">
        <v>42490</v>
      </c>
      <c r="D828" s="10">
        <v>1500</v>
      </c>
    </row>
    <row r="829" spans="1:4">
      <c r="A829" s="7" t="s">
        <v>35</v>
      </c>
      <c r="B829" s="8" t="s">
        <v>34</v>
      </c>
      <c r="C829" s="9">
        <v>42490</v>
      </c>
      <c r="D829" s="10">
        <v>1500</v>
      </c>
    </row>
    <row r="830" spans="1:4">
      <c r="A830" s="7" t="s">
        <v>41</v>
      </c>
      <c r="B830" s="8" t="s">
        <v>40</v>
      </c>
      <c r="C830" s="9">
        <v>42490</v>
      </c>
      <c r="D830" s="10">
        <v>135.792</v>
      </c>
    </row>
    <row r="831" spans="1:4">
      <c r="A831" s="7" t="s">
        <v>53</v>
      </c>
      <c r="B831" s="8" t="s">
        <v>52</v>
      </c>
      <c r="C831" s="9">
        <v>42490</v>
      </c>
      <c r="D831" s="10">
        <v>631.65300000000002</v>
      </c>
    </row>
    <row r="832" spans="1:4">
      <c r="A832" s="7" t="s">
        <v>51</v>
      </c>
      <c r="B832" s="8" t="s">
        <v>50</v>
      </c>
      <c r="C832" s="9">
        <v>42490</v>
      </c>
      <c r="D832" s="10">
        <v>2000</v>
      </c>
    </row>
    <row r="833" spans="1:5">
      <c r="A833" s="7" t="s">
        <v>379</v>
      </c>
      <c r="B833" s="8" t="s">
        <v>378</v>
      </c>
      <c r="C833" s="9">
        <v>42490</v>
      </c>
      <c r="D833" s="10">
        <v>3584.25</v>
      </c>
    </row>
    <row r="834" spans="1:5">
      <c r="A834" s="7" t="s">
        <v>21</v>
      </c>
      <c r="B834" s="8" t="s">
        <v>20</v>
      </c>
      <c r="C834" s="9">
        <v>42490</v>
      </c>
      <c r="D834" s="10">
        <v>2350</v>
      </c>
    </row>
    <row r="835" spans="1:5">
      <c r="A835" s="7" t="s">
        <v>161</v>
      </c>
      <c r="B835" s="8" t="s">
        <v>160</v>
      </c>
      <c r="C835" s="9">
        <v>42490</v>
      </c>
      <c r="D835" s="10">
        <v>11875.01</v>
      </c>
    </row>
    <row r="836" spans="1:5">
      <c r="A836" s="7" t="s">
        <v>307</v>
      </c>
      <c r="B836" s="8" t="s">
        <v>306</v>
      </c>
      <c r="C836" s="9">
        <v>42490</v>
      </c>
      <c r="D836" s="10">
        <v>2142.752</v>
      </c>
    </row>
    <row r="837" spans="1:5">
      <c r="A837" s="7" t="s">
        <v>153</v>
      </c>
      <c r="B837" s="8" t="s">
        <v>152</v>
      </c>
      <c r="C837" s="9">
        <v>42490</v>
      </c>
      <c r="D837" s="10">
        <v>1197.654</v>
      </c>
    </row>
    <row r="838" spans="1:5">
      <c r="A838" s="7" t="s">
        <v>281</v>
      </c>
      <c r="B838" s="8" t="s">
        <v>280</v>
      </c>
      <c r="C838" s="9">
        <v>42490</v>
      </c>
      <c r="D838" s="10">
        <v>666.10599999999999</v>
      </c>
    </row>
    <row r="839" spans="1:5">
      <c r="A839" s="7" t="s">
        <v>149</v>
      </c>
      <c r="B839" s="8" t="s">
        <v>148</v>
      </c>
      <c r="C839" s="9">
        <v>42490</v>
      </c>
      <c r="D839" s="10">
        <v>1396.69</v>
      </c>
    </row>
    <row r="840" spans="1:5" ht="15.75" thickBot="1">
      <c r="A840" s="11" t="s">
        <v>151</v>
      </c>
      <c r="B840" s="12" t="s">
        <v>150</v>
      </c>
      <c r="C840" s="13">
        <v>42490</v>
      </c>
      <c r="D840" s="14">
        <v>2000</v>
      </c>
    </row>
    <row r="841" spans="1:5" ht="15.75" thickBot="1">
      <c r="A841" s="668" t="s">
        <v>735</v>
      </c>
      <c r="B841" s="669"/>
      <c r="C841" s="669"/>
      <c r="D841" s="335">
        <f>SUM(D610:D840)</f>
        <v>402886.70199999982</v>
      </c>
    </row>
    <row r="842" spans="1:5">
      <c r="A842" s="3" t="s">
        <v>145</v>
      </c>
      <c r="B842" s="4" t="s">
        <v>144</v>
      </c>
      <c r="C842" s="5">
        <v>42492</v>
      </c>
      <c r="D842" s="6">
        <v>650</v>
      </c>
    </row>
    <row r="843" spans="1:5">
      <c r="A843" s="7" t="s">
        <v>731</v>
      </c>
      <c r="B843" s="8" t="s">
        <v>732</v>
      </c>
      <c r="C843" s="9">
        <v>42492</v>
      </c>
      <c r="D843" s="10">
        <v>348.678</v>
      </c>
    </row>
    <row r="844" spans="1:5">
      <c r="A844" s="7" t="s">
        <v>243</v>
      </c>
      <c r="B844" s="8" t="s">
        <v>242</v>
      </c>
      <c r="C844" s="9">
        <v>42492</v>
      </c>
      <c r="D844" s="10">
        <v>3850</v>
      </c>
    </row>
    <row r="845" spans="1:5">
      <c r="A845" s="7" t="s">
        <v>127</v>
      </c>
      <c r="B845" s="8" t="s">
        <v>126</v>
      </c>
      <c r="C845" s="9">
        <v>42493</v>
      </c>
      <c r="D845" s="10">
        <v>2980.2979999999998</v>
      </c>
    </row>
    <row r="846" spans="1:5">
      <c r="A846" s="7" t="s">
        <v>269</v>
      </c>
      <c r="B846" s="8" t="s">
        <v>268</v>
      </c>
      <c r="C846" s="9">
        <v>42495</v>
      </c>
      <c r="D846" s="10">
        <v>1036.7760000000001</v>
      </c>
    </row>
    <row r="847" spans="1:5" s="334" customFormat="1">
      <c r="A847" s="7" t="s">
        <v>145</v>
      </c>
      <c r="B847" s="8" t="s">
        <v>144</v>
      </c>
      <c r="C847" s="9">
        <v>42495</v>
      </c>
      <c r="D847" s="10">
        <v>645.72299999999996</v>
      </c>
      <c r="E847"/>
    </row>
    <row r="848" spans="1:5">
      <c r="A848" s="7" t="s">
        <v>143</v>
      </c>
      <c r="B848" s="8" t="s">
        <v>142</v>
      </c>
      <c r="C848" s="9">
        <v>42495</v>
      </c>
      <c r="D848" s="10">
        <v>2000</v>
      </c>
    </row>
    <row r="849" spans="1:12">
      <c r="A849" s="7" t="s">
        <v>279</v>
      </c>
      <c r="B849" s="8" t="s">
        <v>278</v>
      </c>
      <c r="C849" s="9">
        <v>42495</v>
      </c>
      <c r="D849" s="10">
        <v>1261.8520000000001</v>
      </c>
    </row>
    <row r="850" spans="1:12">
      <c r="A850" s="7" t="s">
        <v>139</v>
      </c>
      <c r="B850" s="8" t="s">
        <v>138</v>
      </c>
      <c r="C850" s="9">
        <v>42495</v>
      </c>
      <c r="D850" s="10">
        <v>439.14699999999999</v>
      </c>
    </row>
    <row r="851" spans="1:12">
      <c r="A851" s="7" t="s">
        <v>227</v>
      </c>
      <c r="B851" s="8" t="s">
        <v>226</v>
      </c>
      <c r="C851" s="9">
        <v>42495</v>
      </c>
      <c r="D851" s="10">
        <v>650.55999999999995</v>
      </c>
    </row>
    <row r="852" spans="1:12">
      <c r="A852" s="7" t="s">
        <v>393</v>
      </c>
      <c r="B852" s="8" t="s">
        <v>392</v>
      </c>
      <c r="C852" s="9">
        <v>42495</v>
      </c>
      <c r="D852" s="10">
        <v>900</v>
      </c>
    </row>
    <row r="853" spans="1:12">
      <c r="A853" s="7" t="s">
        <v>35</v>
      </c>
      <c r="B853" s="8" t="s">
        <v>34</v>
      </c>
      <c r="C853" s="9">
        <v>42495</v>
      </c>
      <c r="D853" s="10">
        <v>1500</v>
      </c>
    </row>
    <row r="854" spans="1:12" s="334" customFormat="1">
      <c r="A854" s="7" t="s">
        <v>207</v>
      </c>
      <c r="B854" s="8" t="s">
        <v>206</v>
      </c>
      <c r="C854" s="9">
        <v>42496</v>
      </c>
      <c r="D854" s="10">
        <v>3839.6869999999999</v>
      </c>
      <c r="E854"/>
    </row>
    <row r="855" spans="1:12">
      <c r="A855" s="7" t="s">
        <v>223</v>
      </c>
      <c r="B855" s="8" t="s">
        <v>222</v>
      </c>
      <c r="C855" s="9">
        <v>42497</v>
      </c>
      <c r="D855" s="10">
        <v>2005.048</v>
      </c>
    </row>
    <row r="856" spans="1:12" s="334" customFormat="1">
      <c r="A856" s="7" t="s">
        <v>347</v>
      </c>
      <c r="B856" s="8" t="s">
        <v>346</v>
      </c>
      <c r="C856" s="9">
        <v>42497</v>
      </c>
      <c r="D856" s="10">
        <v>12257.13</v>
      </c>
      <c r="E856"/>
    </row>
    <row r="857" spans="1:12">
      <c r="A857" s="7" t="s">
        <v>299</v>
      </c>
      <c r="B857" s="8" t="s">
        <v>298</v>
      </c>
      <c r="C857" s="9">
        <v>42497</v>
      </c>
      <c r="D857" s="10">
        <v>554.30999999999995</v>
      </c>
    </row>
    <row r="858" spans="1:12">
      <c r="A858" s="7" t="s">
        <v>363</v>
      </c>
      <c r="B858" s="8" t="s">
        <v>362</v>
      </c>
      <c r="C858" s="9">
        <v>42498</v>
      </c>
      <c r="D858" s="10">
        <v>2701.3710000000001</v>
      </c>
      <c r="L858" s="229"/>
    </row>
    <row r="859" spans="1:12">
      <c r="A859" s="7" t="s">
        <v>43</v>
      </c>
      <c r="B859" s="8" t="s">
        <v>42</v>
      </c>
      <c r="C859" s="9">
        <v>42498</v>
      </c>
      <c r="D859" s="10">
        <v>3200</v>
      </c>
    </row>
    <row r="860" spans="1:12">
      <c r="A860" s="7" t="s">
        <v>367</v>
      </c>
      <c r="B860" s="8" t="s">
        <v>366</v>
      </c>
      <c r="C860" s="9">
        <v>42500</v>
      </c>
      <c r="D860" s="10">
        <v>2000</v>
      </c>
    </row>
    <row r="861" spans="1:12">
      <c r="A861" s="7" t="s">
        <v>119</v>
      </c>
      <c r="B861" s="8" t="s">
        <v>118</v>
      </c>
      <c r="C861" s="9">
        <v>42500</v>
      </c>
      <c r="D861" s="10">
        <v>4500</v>
      </c>
    </row>
    <row r="862" spans="1:12">
      <c r="A862" s="7" t="s">
        <v>253</v>
      </c>
      <c r="B862" s="8" t="s">
        <v>252</v>
      </c>
      <c r="C862" s="9">
        <v>42500</v>
      </c>
      <c r="D862" s="10">
        <v>988.55</v>
      </c>
    </row>
    <row r="863" spans="1:12">
      <c r="A863" s="7" t="s">
        <v>287</v>
      </c>
      <c r="B863" s="8" t="s">
        <v>286</v>
      </c>
      <c r="C863" s="9">
        <v>42500</v>
      </c>
      <c r="D863" s="10">
        <v>1069</v>
      </c>
    </row>
    <row r="864" spans="1:12">
      <c r="A864" s="7" t="s">
        <v>331</v>
      </c>
      <c r="B864" s="8" t="s">
        <v>330</v>
      </c>
      <c r="C864" s="9">
        <v>42500</v>
      </c>
      <c r="D864" s="10">
        <v>526</v>
      </c>
    </row>
    <row r="865" spans="1:4">
      <c r="A865" s="7" t="s">
        <v>21</v>
      </c>
      <c r="B865" s="8" t="s">
        <v>20</v>
      </c>
      <c r="C865" s="9">
        <v>42500</v>
      </c>
      <c r="D865" s="10">
        <v>2369.1170000000002</v>
      </c>
    </row>
    <row r="866" spans="1:4">
      <c r="A866" s="7" t="s">
        <v>151</v>
      </c>
      <c r="B866" s="8" t="s">
        <v>150</v>
      </c>
      <c r="C866" s="9">
        <v>42500</v>
      </c>
      <c r="D866" s="10">
        <v>2104.3850000000002</v>
      </c>
    </row>
    <row r="867" spans="1:4">
      <c r="A867" s="7" t="s">
        <v>245</v>
      </c>
      <c r="B867" s="8" t="s">
        <v>244</v>
      </c>
      <c r="C867" s="9">
        <v>42501</v>
      </c>
      <c r="D867" s="10">
        <v>1660.797</v>
      </c>
    </row>
    <row r="868" spans="1:4">
      <c r="A868" s="7" t="s">
        <v>243</v>
      </c>
      <c r="B868" s="8" t="s">
        <v>242</v>
      </c>
      <c r="C868" s="9">
        <v>42502</v>
      </c>
      <c r="D868" s="10">
        <v>3900.529</v>
      </c>
    </row>
    <row r="869" spans="1:4">
      <c r="A869" s="7" t="s">
        <v>117</v>
      </c>
      <c r="B869" s="8" t="s">
        <v>116</v>
      </c>
      <c r="C869" s="9">
        <v>42503</v>
      </c>
      <c r="D869" s="10">
        <v>500.96600000000001</v>
      </c>
    </row>
    <row r="870" spans="1:4">
      <c r="A870" s="7" t="s">
        <v>19</v>
      </c>
      <c r="B870" s="8" t="s">
        <v>18</v>
      </c>
      <c r="C870" s="9">
        <v>42503</v>
      </c>
      <c r="D870" s="10">
        <v>3500</v>
      </c>
    </row>
    <row r="871" spans="1:4">
      <c r="A871" s="7" t="s">
        <v>129</v>
      </c>
      <c r="B871" s="8" t="s">
        <v>128</v>
      </c>
      <c r="C871" s="9">
        <v>42505</v>
      </c>
      <c r="D871" s="10">
        <v>3254.857</v>
      </c>
    </row>
    <row r="872" spans="1:4">
      <c r="A872" s="7" t="s">
        <v>269</v>
      </c>
      <c r="B872" s="8" t="s">
        <v>268</v>
      </c>
      <c r="C872" s="9">
        <v>42505</v>
      </c>
      <c r="D872" s="10">
        <v>1330</v>
      </c>
    </row>
    <row r="873" spans="1:4">
      <c r="A873" s="7" t="s">
        <v>145</v>
      </c>
      <c r="B873" s="8" t="s">
        <v>144</v>
      </c>
      <c r="C873" s="9">
        <v>42505</v>
      </c>
      <c r="D873" s="10">
        <v>700</v>
      </c>
    </row>
    <row r="874" spans="1:4">
      <c r="A874" s="7" t="s">
        <v>213</v>
      </c>
      <c r="B874" s="8" t="s">
        <v>212</v>
      </c>
      <c r="C874" s="9">
        <v>42505</v>
      </c>
      <c r="D874" s="10">
        <v>1128.6590000000001</v>
      </c>
    </row>
    <row r="875" spans="1:4">
      <c r="A875" s="7" t="s">
        <v>853</v>
      </c>
      <c r="B875" s="8" t="s">
        <v>854</v>
      </c>
      <c r="C875" s="9">
        <v>42505</v>
      </c>
      <c r="D875" s="10">
        <v>1763.5730000000001</v>
      </c>
    </row>
    <row r="876" spans="1:4">
      <c r="A876" s="7" t="s">
        <v>393</v>
      </c>
      <c r="B876" s="8" t="s">
        <v>392</v>
      </c>
      <c r="C876" s="9">
        <v>42505</v>
      </c>
      <c r="D876" s="10">
        <v>805.98900000000003</v>
      </c>
    </row>
    <row r="877" spans="1:4">
      <c r="A877" s="7" t="s">
        <v>53</v>
      </c>
      <c r="B877" s="8" t="s">
        <v>52</v>
      </c>
      <c r="C877" s="9">
        <v>42505</v>
      </c>
      <c r="D877" s="10">
        <v>631.65300000000002</v>
      </c>
    </row>
    <row r="878" spans="1:4">
      <c r="A878" s="7" t="s">
        <v>51</v>
      </c>
      <c r="B878" s="8" t="s">
        <v>50</v>
      </c>
      <c r="C878" s="9">
        <v>42505</v>
      </c>
      <c r="D878" s="10">
        <v>1905</v>
      </c>
    </row>
    <row r="879" spans="1:4">
      <c r="A879" s="7" t="s">
        <v>331</v>
      </c>
      <c r="B879" s="8" t="s">
        <v>330</v>
      </c>
      <c r="C879" s="9">
        <v>42505</v>
      </c>
      <c r="D879" s="10">
        <v>527.12</v>
      </c>
    </row>
    <row r="880" spans="1:4">
      <c r="A880" s="7" t="s">
        <v>303</v>
      </c>
      <c r="B880" s="8" t="s">
        <v>302</v>
      </c>
      <c r="C880" s="9">
        <v>42506</v>
      </c>
      <c r="D880" s="10">
        <v>2000</v>
      </c>
    </row>
    <row r="881" spans="1:4">
      <c r="A881" s="7" t="s">
        <v>85</v>
      </c>
      <c r="B881" s="8" t="s">
        <v>84</v>
      </c>
      <c r="C881" s="9">
        <v>42507</v>
      </c>
      <c r="D881" s="10">
        <v>1634</v>
      </c>
    </row>
    <row r="882" spans="1:4">
      <c r="A882" s="7" t="s">
        <v>245</v>
      </c>
      <c r="B882" s="8" t="s">
        <v>244</v>
      </c>
      <c r="C882" s="9">
        <v>42509</v>
      </c>
      <c r="D882" s="10">
        <v>2268.73</v>
      </c>
    </row>
    <row r="883" spans="1:4">
      <c r="A883" s="7" t="s">
        <v>259</v>
      </c>
      <c r="B883" s="8" t="s">
        <v>258</v>
      </c>
      <c r="C883" s="9">
        <v>42510</v>
      </c>
      <c r="D883" s="10">
        <v>3000</v>
      </c>
    </row>
    <row r="884" spans="1:4">
      <c r="A884" s="7" t="s">
        <v>415</v>
      </c>
      <c r="B884" s="8" t="s">
        <v>414</v>
      </c>
      <c r="C884" s="9">
        <v>42510</v>
      </c>
      <c r="D884" s="10">
        <v>414.22199999999998</v>
      </c>
    </row>
    <row r="885" spans="1:4">
      <c r="A885" s="7" t="s">
        <v>119</v>
      </c>
      <c r="B885" s="8" t="s">
        <v>118</v>
      </c>
      <c r="C885" s="9">
        <v>42510</v>
      </c>
      <c r="D885" s="10">
        <v>4500</v>
      </c>
    </row>
    <row r="886" spans="1:4">
      <c r="A886" s="7" t="s">
        <v>387</v>
      </c>
      <c r="B886" s="8" t="s">
        <v>386</v>
      </c>
      <c r="C886" s="9">
        <v>42510</v>
      </c>
      <c r="D886" s="10">
        <v>8784.6350000000002</v>
      </c>
    </row>
    <row r="887" spans="1:4">
      <c r="A887" s="7" t="s">
        <v>668</v>
      </c>
      <c r="B887" s="8" t="s">
        <v>669</v>
      </c>
      <c r="C887" s="9">
        <v>42513</v>
      </c>
      <c r="D887" s="10">
        <v>1130</v>
      </c>
    </row>
    <row r="888" spans="1:4">
      <c r="A888" s="7" t="s">
        <v>15</v>
      </c>
      <c r="B888" s="8" t="s">
        <v>14</v>
      </c>
      <c r="C888" s="9">
        <v>42513</v>
      </c>
      <c r="D888" s="10">
        <v>3400</v>
      </c>
    </row>
    <row r="889" spans="1:4">
      <c r="A889" s="7" t="s">
        <v>85</v>
      </c>
      <c r="B889" s="8" t="s">
        <v>84</v>
      </c>
      <c r="C889" s="9">
        <v>42513</v>
      </c>
      <c r="D889" s="10">
        <v>1634</v>
      </c>
    </row>
    <row r="890" spans="1:4">
      <c r="A890" s="7" t="s">
        <v>113</v>
      </c>
      <c r="B890" s="8" t="s">
        <v>112</v>
      </c>
      <c r="C890" s="9">
        <v>42515</v>
      </c>
      <c r="D890" s="10">
        <v>1300</v>
      </c>
    </row>
    <row r="891" spans="1:4">
      <c r="A891" s="7" t="s">
        <v>279</v>
      </c>
      <c r="B891" s="8" t="s">
        <v>278</v>
      </c>
      <c r="C891" s="9">
        <v>42515</v>
      </c>
      <c r="D891" s="10">
        <v>1206.213</v>
      </c>
    </row>
    <row r="892" spans="1:4">
      <c r="A892" s="7" t="s">
        <v>83</v>
      </c>
      <c r="B892" s="8" t="s">
        <v>82</v>
      </c>
      <c r="C892" s="9">
        <v>42515</v>
      </c>
      <c r="D892" s="10">
        <v>3000</v>
      </c>
    </row>
    <row r="893" spans="1:4">
      <c r="A893" s="7" t="s">
        <v>43</v>
      </c>
      <c r="B893" s="8" t="s">
        <v>42</v>
      </c>
      <c r="C893" s="9">
        <v>42515</v>
      </c>
      <c r="D893" s="10">
        <v>3156.1030000000001</v>
      </c>
    </row>
    <row r="894" spans="1:4">
      <c r="A894" s="7" t="s">
        <v>341</v>
      </c>
      <c r="B894" s="8" t="s">
        <v>340</v>
      </c>
      <c r="C894" s="9">
        <v>42517</v>
      </c>
      <c r="D894" s="10">
        <v>1880.0350000000001</v>
      </c>
    </row>
    <row r="895" spans="1:4">
      <c r="A895" s="7" t="s">
        <v>19</v>
      </c>
      <c r="B895" s="8" t="s">
        <v>18</v>
      </c>
      <c r="C895" s="9">
        <v>42517</v>
      </c>
      <c r="D895" s="10">
        <v>3434.422</v>
      </c>
    </row>
    <row r="896" spans="1:4">
      <c r="A896" s="7" t="s">
        <v>245</v>
      </c>
      <c r="B896" s="8" t="s">
        <v>244</v>
      </c>
      <c r="C896" s="9">
        <v>42518</v>
      </c>
      <c r="D896" s="10">
        <v>2268.7310000000002</v>
      </c>
    </row>
    <row r="897" spans="1:4">
      <c r="A897" s="7" t="s">
        <v>259</v>
      </c>
      <c r="B897" s="8" t="s">
        <v>258</v>
      </c>
      <c r="C897" s="9">
        <v>42520</v>
      </c>
      <c r="D897" s="10">
        <v>3186.2750000000001</v>
      </c>
    </row>
    <row r="898" spans="1:4">
      <c r="A898" s="7" t="s">
        <v>269</v>
      </c>
      <c r="B898" s="8" t="s">
        <v>268</v>
      </c>
      <c r="C898" s="9">
        <v>42520</v>
      </c>
      <c r="D898" s="10">
        <v>1330</v>
      </c>
    </row>
    <row r="899" spans="1:4">
      <c r="A899" s="7" t="s">
        <v>223</v>
      </c>
      <c r="B899" s="8" t="s">
        <v>222</v>
      </c>
      <c r="C899" s="9">
        <v>42520</v>
      </c>
      <c r="D899" s="10">
        <v>1122.6210000000001</v>
      </c>
    </row>
    <row r="900" spans="1:4">
      <c r="A900" s="7" t="s">
        <v>141</v>
      </c>
      <c r="B900" s="8" t="s">
        <v>140</v>
      </c>
      <c r="C900" s="9">
        <v>42520</v>
      </c>
      <c r="D900" s="10">
        <v>551.06600000000003</v>
      </c>
    </row>
    <row r="901" spans="1:4">
      <c r="A901" s="7" t="s">
        <v>221</v>
      </c>
      <c r="B901" s="8" t="s">
        <v>220</v>
      </c>
      <c r="C901" s="9">
        <v>42520</v>
      </c>
      <c r="D901" s="10">
        <v>3382.6329999999998</v>
      </c>
    </row>
    <row r="902" spans="1:4">
      <c r="A902" s="7" t="s">
        <v>35</v>
      </c>
      <c r="B902" s="8" t="s">
        <v>34</v>
      </c>
      <c r="C902" s="9">
        <v>42520</v>
      </c>
      <c r="D902" s="10">
        <v>1645.5139999999999</v>
      </c>
    </row>
    <row r="903" spans="1:4">
      <c r="A903" s="7" t="s">
        <v>393</v>
      </c>
      <c r="B903" s="8" t="s">
        <v>392</v>
      </c>
      <c r="C903" s="9">
        <v>42520</v>
      </c>
      <c r="D903" s="10">
        <v>1000</v>
      </c>
    </row>
    <row r="904" spans="1:4">
      <c r="A904" s="7" t="s">
        <v>662</v>
      </c>
      <c r="B904" s="8" t="s">
        <v>663</v>
      </c>
      <c r="C904" s="9">
        <v>42521</v>
      </c>
      <c r="D904" s="10">
        <v>1000</v>
      </c>
    </row>
    <row r="905" spans="1:4">
      <c r="A905" s="7" t="s">
        <v>57</v>
      </c>
      <c r="B905" s="8" t="s">
        <v>56</v>
      </c>
      <c r="C905" s="9">
        <v>42521</v>
      </c>
      <c r="D905" s="10">
        <v>3000</v>
      </c>
    </row>
    <row r="906" spans="1:4">
      <c r="A906" s="7" t="s">
        <v>113</v>
      </c>
      <c r="B906" s="8" t="s">
        <v>112</v>
      </c>
      <c r="C906" s="9">
        <v>42521</v>
      </c>
      <c r="D906" s="10">
        <v>2000</v>
      </c>
    </row>
    <row r="907" spans="1:4">
      <c r="A907" s="7" t="s">
        <v>145</v>
      </c>
      <c r="B907" s="8" t="s">
        <v>144</v>
      </c>
      <c r="C907" s="9">
        <v>42521</v>
      </c>
      <c r="D907" s="10">
        <v>700</v>
      </c>
    </row>
    <row r="908" spans="1:4">
      <c r="A908" s="7" t="s">
        <v>596</v>
      </c>
      <c r="B908" s="8" t="s">
        <v>597</v>
      </c>
      <c r="C908" s="9">
        <v>42521</v>
      </c>
      <c r="D908" s="10">
        <v>2571.2689999999998</v>
      </c>
    </row>
    <row r="909" spans="1:4">
      <c r="A909" s="7" t="s">
        <v>143</v>
      </c>
      <c r="B909" s="8" t="s">
        <v>142</v>
      </c>
      <c r="C909" s="9">
        <v>42521</v>
      </c>
      <c r="D909" s="10">
        <v>2719.2779999999998</v>
      </c>
    </row>
    <row r="910" spans="1:4">
      <c r="A910" s="7" t="s">
        <v>119</v>
      </c>
      <c r="B910" s="8" t="s">
        <v>118</v>
      </c>
      <c r="C910" s="9">
        <v>42521</v>
      </c>
      <c r="D910" s="10">
        <v>4231.2430000000004</v>
      </c>
    </row>
    <row r="911" spans="1:4">
      <c r="A911" s="7" t="s">
        <v>85</v>
      </c>
      <c r="B911" s="8" t="s">
        <v>84</v>
      </c>
      <c r="C911" s="9">
        <v>42521</v>
      </c>
      <c r="D911" s="10">
        <v>1635.405</v>
      </c>
    </row>
    <row r="912" spans="1:4">
      <c r="A912" s="7" t="s">
        <v>83</v>
      </c>
      <c r="B912" s="8" t="s">
        <v>82</v>
      </c>
      <c r="C912" s="9">
        <v>42521</v>
      </c>
      <c r="D912" s="10">
        <v>3362.2530000000002</v>
      </c>
    </row>
    <row r="913" spans="1:8">
      <c r="A913" s="7" t="s">
        <v>79</v>
      </c>
      <c r="B913" s="8" t="s">
        <v>78</v>
      </c>
      <c r="C913" s="9">
        <v>42521</v>
      </c>
      <c r="D913" s="10">
        <v>2323.5889999999999</v>
      </c>
    </row>
    <row r="914" spans="1:8">
      <c r="A914" s="7" t="s">
        <v>287</v>
      </c>
      <c r="B914" s="8" t="s">
        <v>286</v>
      </c>
      <c r="C914" s="9">
        <v>42521</v>
      </c>
      <c r="D914" s="10">
        <v>1070</v>
      </c>
    </row>
    <row r="915" spans="1:8">
      <c r="A915" s="7" t="s">
        <v>173</v>
      </c>
      <c r="B915" s="8" t="s">
        <v>172</v>
      </c>
      <c r="C915" s="9">
        <v>42521</v>
      </c>
      <c r="D915" s="10">
        <v>1498.982</v>
      </c>
    </row>
    <row r="916" spans="1:8" ht="15.75" thickBot="1">
      <c r="A916" s="11" t="s">
        <v>578</v>
      </c>
      <c r="B916" s="12" t="s">
        <v>579</v>
      </c>
      <c r="C916" s="13">
        <v>42521</v>
      </c>
      <c r="D916" s="14">
        <v>12743.906000000001</v>
      </c>
    </row>
    <row r="917" spans="1:8" ht="15.75" thickBot="1">
      <c r="A917" s="668" t="s">
        <v>736</v>
      </c>
      <c r="B917" s="669"/>
      <c r="C917" s="669"/>
      <c r="D917" s="335">
        <f>SUM(D842:D916)</f>
        <v>172071.89999999997</v>
      </c>
    </row>
    <row r="918" spans="1:8">
      <c r="A918" s="3" t="s">
        <v>145</v>
      </c>
      <c r="B918" s="4" t="s">
        <v>144</v>
      </c>
      <c r="C918" s="5">
        <v>42524</v>
      </c>
      <c r="D918" s="6">
        <v>720</v>
      </c>
    </row>
    <row r="919" spans="1:8">
      <c r="A919" s="7" t="s">
        <v>145</v>
      </c>
      <c r="B919" s="8" t="s">
        <v>144</v>
      </c>
      <c r="C919" s="9">
        <v>42526</v>
      </c>
      <c r="D919" s="10">
        <v>685.13099999999997</v>
      </c>
    </row>
    <row r="920" spans="1:8">
      <c r="A920" s="7" t="s">
        <v>347</v>
      </c>
      <c r="B920" s="8" t="s">
        <v>346</v>
      </c>
      <c r="C920" s="9">
        <v>42528</v>
      </c>
      <c r="D920" s="10">
        <v>7474.8980000000001</v>
      </c>
    </row>
    <row r="921" spans="1:8">
      <c r="A921" s="7" t="s">
        <v>287</v>
      </c>
      <c r="B921" s="8" t="s">
        <v>286</v>
      </c>
      <c r="C921" s="9">
        <v>42531</v>
      </c>
      <c r="D921" s="10">
        <v>1073.9179999999999</v>
      </c>
    </row>
    <row r="922" spans="1:8">
      <c r="A922" s="7" t="s">
        <v>245</v>
      </c>
      <c r="B922" s="8" t="s">
        <v>244</v>
      </c>
      <c r="C922" s="9">
        <v>42533</v>
      </c>
      <c r="D922" s="10">
        <v>2268.732</v>
      </c>
    </row>
    <row r="923" spans="1:8">
      <c r="A923" s="7" t="s">
        <v>15</v>
      </c>
      <c r="B923" s="8" t="s">
        <v>14</v>
      </c>
      <c r="C923" s="9">
        <v>42535</v>
      </c>
      <c r="D923" s="10">
        <v>3367.3519999999999</v>
      </c>
      <c r="H923" s="229"/>
    </row>
    <row r="924" spans="1:8">
      <c r="A924" s="7" t="s">
        <v>269</v>
      </c>
      <c r="B924" s="8" t="s">
        <v>268</v>
      </c>
      <c r="C924" s="9">
        <v>42536</v>
      </c>
      <c r="D924" s="10">
        <v>1348.61</v>
      </c>
    </row>
    <row r="925" spans="1:8">
      <c r="A925" s="7" t="s">
        <v>119</v>
      </c>
      <c r="B925" s="8" t="s">
        <v>118</v>
      </c>
      <c r="C925" s="9">
        <v>42536</v>
      </c>
      <c r="D925" s="10">
        <v>4500</v>
      </c>
    </row>
    <row r="926" spans="1:8">
      <c r="A926" s="7" t="s">
        <v>393</v>
      </c>
      <c r="B926" s="8" t="s">
        <v>392</v>
      </c>
      <c r="C926" s="9">
        <v>42536</v>
      </c>
      <c r="D926" s="10">
        <v>958.66300000000001</v>
      </c>
    </row>
    <row r="927" spans="1:8">
      <c r="A927" s="7" t="s">
        <v>245</v>
      </c>
      <c r="B927" s="8" t="s">
        <v>244</v>
      </c>
      <c r="C927" s="9">
        <v>42538</v>
      </c>
      <c r="D927" s="10">
        <v>2268.7330000000002</v>
      </c>
    </row>
    <row r="928" spans="1:8">
      <c r="A928" s="7" t="s">
        <v>113</v>
      </c>
      <c r="B928" s="8" t="s">
        <v>112</v>
      </c>
      <c r="C928" s="9">
        <v>42546</v>
      </c>
      <c r="D928" s="10">
        <v>2150</v>
      </c>
    </row>
    <row r="929" spans="1:4" ht="15.75" thickBot="1">
      <c r="A929" s="11" t="s">
        <v>15</v>
      </c>
      <c r="B929" s="12" t="s">
        <v>14</v>
      </c>
      <c r="C929" s="13">
        <v>42551</v>
      </c>
      <c r="D929" s="14">
        <v>4600</v>
      </c>
    </row>
    <row r="930" spans="1:4" ht="15.75" thickBot="1">
      <c r="A930" s="668" t="s">
        <v>737</v>
      </c>
      <c r="B930" s="669"/>
      <c r="C930" s="669"/>
      <c r="D930" s="335">
        <f>SUM(D918:D929)</f>
        <v>31416.037</v>
      </c>
    </row>
    <row r="931" spans="1:4" ht="15.75" thickBot="1">
      <c r="A931" s="460" t="s">
        <v>15</v>
      </c>
      <c r="B931" s="461" t="s">
        <v>14</v>
      </c>
      <c r="C931" s="462">
        <v>42576</v>
      </c>
      <c r="D931" s="463">
        <v>4608.04</v>
      </c>
    </row>
    <row r="932" spans="1:4" ht="15.75" thickBot="1">
      <c r="A932" s="668" t="s">
        <v>738</v>
      </c>
      <c r="B932" s="669"/>
      <c r="C932" s="669"/>
      <c r="D932" s="335">
        <f>SUM(D931)</f>
        <v>4608.04</v>
      </c>
    </row>
    <row r="933" spans="1:4" ht="15.75" thickBot="1"/>
    <row r="934" spans="1:4" ht="15.75" thickBot="1">
      <c r="A934" s="670" t="s">
        <v>810</v>
      </c>
      <c r="B934" s="670"/>
      <c r="C934" s="670"/>
      <c r="D934" s="465">
        <f>D932+D930+D917+D841+D609+D258</f>
        <v>1587912.7199999995</v>
      </c>
    </row>
  </sheetData>
  <sortState ref="A2:D87">
    <sortCondition ref="C2:C87"/>
  </sortState>
  <mergeCells count="7">
    <mergeCell ref="A932:C932"/>
    <mergeCell ref="A934:C934"/>
    <mergeCell ref="A258:C258"/>
    <mergeCell ref="A609:C609"/>
    <mergeCell ref="A841:C841"/>
    <mergeCell ref="A917:C917"/>
    <mergeCell ref="A930:C930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55"/>
  <sheetViews>
    <sheetView topLeftCell="A13" workbookViewId="0">
      <selection activeCell="H55" sqref="H55"/>
    </sheetView>
  </sheetViews>
  <sheetFormatPr baseColWidth="10" defaultRowHeight="15"/>
  <cols>
    <col min="1" max="1" width="9.28515625" bestFit="1" customWidth="1"/>
    <col min="2" max="2" width="31.28515625" bestFit="1" customWidth="1"/>
    <col min="3" max="3" width="10.7109375" bestFit="1" customWidth="1"/>
    <col min="4" max="4" width="13.85546875" style="2" bestFit="1" customWidth="1"/>
    <col min="8" max="8" width="33.5703125" bestFit="1" customWidth="1"/>
    <col min="12" max="12" width="11.42578125" style="229"/>
  </cols>
  <sheetData>
    <row r="1" spans="1:4" ht="15.75" thickBot="1">
      <c r="A1" s="15" t="s">
        <v>11</v>
      </c>
      <c r="B1" s="16" t="s">
        <v>10</v>
      </c>
      <c r="C1" s="16" t="s">
        <v>9</v>
      </c>
      <c r="D1" s="17" t="s">
        <v>8</v>
      </c>
    </row>
    <row r="2" spans="1:4">
      <c r="A2" s="3" t="s">
        <v>872</v>
      </c>
      <c r="B2" s="4" t="s">
        <v>871</v>
      </c>
      <c r="C2" s="5">
        <v>42428</v>
      </c>
      <c r="D2" s="6">
        <v>21386.812000000002</v>
      </c>
    </row>
    <row r="3" spans="1:4">
      <c r="A3" s="7" t="s">
        <v>674</v>
      </c>
      <c r="B3" s="8" t="s">
        <v>675</v>
      </c>
      <c r="C3" s="9">
        <v>42434</v>
      </c>
      <c r="D3" s="10">
        <v>494.22300000000001</v>
      </c>
    </row>
    <row r="4" spans="1:4">
      <c r="A4" s="7" t="s">
        <v>914</v>
      </c>
      <c r="B4" s="8" t="s">
        <v>913</v>
      </c>
      <c r="C4" s="9">
        <v>42439</v>
      </c>
      <c r="D4" s="10">
        <v>3135.45</v>
      </c>
    </row>
    <row r="5" spans="1:4">
      <c r="A5" s="7" t="s">
        <v>674</v>
      </c>
      <c r="B5" s="8" t="s">
        <v>675</v>
      </c>
      <c r="C5" s="9">
        <v>42459</v>
      </c>
      <c r="D5" s="10">
        <v>494.22300000000001</v>
      </c>
    </row>
    <row r="6" spans="1:4">
      <c r="A6" s="7" t="s">
        <v>912</v>
      </c>
      <c r="B6" s="8" t="s">
        <v>911</v>
      </c>
      <c r="C6" s="9">
        <v>42459</v>
      </c>
      <c r="D6" s="10">
        <v>1074.866</v>
      </c>
    </row>
    <row r="7" spans="1:4">
      <c r="A7" s="7" t="s">
        <v>910</v>
      </c>
      <c r="B7" s="8" t="s">
        <v>909</v>
      </c>
      <c r="C7" s="9">
        <v>42459</v>
      </c>
      <c r="D7" s="10">
        <v>6248.0410000000002</v>
      </c>
    </row>
    <row r="8" spans="1:4">
      <c r="A8" s="7" t="s">
        <v>908</v>
      </c>
      <c r="B8" s="8" t="s">
        <v>907</v>
      </c>
      <c r="C8" s="9">
        <v>42460</v>
      </c>
      <c r="D8" s="10">
        <v>4402.0339999999997</v>
      </c>
    </row>
    <row r="9" spans="1:4">
      <c r="A9" s="7" t="s">
        <v>906</v>
      </c>
      <c r="B9" s="8" t="s">
        <v>905</v>
      </c>
      <c r="C9" s="9">
        <v>42460</v>
      </c>
      <c r="D9" s="10">
        <v>731.35299999999995</v>
      </c>
    </row>
    <row r="10" spans="1:4">
      <c r="A10" s="7" t="s">
        <v>904</v>
      </c>
      <c r="B10" s="8" t="s">
        <v>903</v>
      </c>
      <c r="C10" s="9">
        <v>42460</v>
      </c>
      <c r="D10" s="10">
        <v>1109.222</v>
      </c>
    </row>
    <row r="11" spans="1:4">
      <c r="A11" s="7" t="s">
        <v>902</v>
      </c>
      <c r="B11" s="8" t="s">
        <v>901</v>
      </c>
      <c r="C11" s="9">
        <v>42460</v>
      </c>
      <c r="D11" s="10">
        <v>2536.0830000000001</v>
      </c>
    </row>
    <row r="12" spans="1:4">
      <c r="A12" s="7" t="s">
        <v>900</v>
      </c>
      <c r="B12" s="8" t="s">
        <v>899</v>
      </c>
      <c r="C12" s="9">
        <v>42460</v>
      </c>
      <c r="D12" s="10">
        <v>318.07900000000001</v>
      </c>
    </row>
    <row r="13" spans="1:4">
      <c r="A13" s="7" t="s">
        <v>898</v>
      </c>
      <c r="B13" s="8" t="s">
        <v>897</v>
      </c>
      <c r="C13" s="9">
        <v>42465</v>
      </c>
      <c r="D13" s="10">
        <v>1177.452</v>
      </c>
    </row>
    <row r="14" spans="1:4">
      <c r="A14" s="7" t="s">
        <v>896</v>
      </c>
      <c r="B14" s="8" t="s">
        <v>895</v>
      </c>
      <c r="C14" s="9">
        <v>42466</v>
      </c>
      <c r="D14" s="10">
        <v>871.40499999999997</v>
      </c>
    </row>
    <row r="15" spans="1:4">
      <c r="A15" s="7" t="s">
        <v>880</v>
      </c>
      <c r="B15" s="8" t="s">
        <v>879</v>
      </c>
      <c r="C15" s="9">
        <v>42475</v>
      </c>
      <c r="D15" s="10">
        <v>1202.4559999999999</v>
      </c>
    </row>
    <row r="16" spans="1:4">
      <c r="A16" s="7" t="s">
        <v>878</v>
      </c>
      <c r="B16" s="8" t="s">
        <v>877</v>
      </c>
      <c r="C16" s="9">
        <v>42475</v>
      </c>
      <c r="D16" s="10">
        <v>1212.3820000000001</v>
      </c>
    </row>
    <row r="17" spans="1:4">
      <c r="A17" s="7" t="s">
        <v>674</v>
      </c>
      <c r="B17" s="8" t="s">
        <v>675</v>
      </c>
      <c r="C17" s="9">
        <v>42480</v>
      </c>
      <c r="D17" s="10">
        <v>1782.9939999999999</v>
      </c>
    </row>
    <row r="18" spans="1:4">
      <c r="A18" s="7" t="s">
        <v>872</v>
      </c>
      <c r="B18" s="8" t="s">
        <v>871</v>
      </c>
      <c r="C18" s="9">
        <v>42481</v>
      </c>
      <c r="D18" s="10">
        <v>32079.972000000002</v>
      </c>
    </row>
    <row r="19" spans="1:4">
      <c r="A19" s="7" t="s">
        <v>894</v>
      </c>
      <c r="B19" s="8" t="s">
        <v>893</v>
      </c>
      <c r="C19" s="9">
        <v>42484</v>
      </c>
      <c r="D19" s="10">
        <v>1754.4169999999999</v>
      </c>
    </row>
    <row r="20" spans="1:4">
      <c r="A20" s="7" t="s">
        <v>892</v>
      </c>
      <c r="B20" s="8" t="s">
        <v>891</v>
      </c>
      <c r="C20" s="9">
        <v>42485</v>
      </c>
      <c r="D20" s="10">
        <v>1999.771</v>
      </c>
    </row>
    <row r="21" spans="1:4">
      <c r="A21" s="7" t="s">
        <v>890</v>
      </c>
      <c r="B21" s="8" t="s">
        <v>889</v>
      </c>
      <c r="C21" s="9">
        <v>42489</v>
      </c>
      <c r="D21" s="10">
        <v>341.93400000000003</v>
      </c>
    </row>
    <row r="22" spans="1:4">
      <c r="A22" s="7" t="s">
        <v>888</v>
      </c>
      <c r="B22" s="8" t="s">
        <v>887</v>
      </c>
      <c r="C22" s="9">
        <v>42490</v>
      </c>
      <c r="D22" s="10">
        <v>446.09800000000001</v>
      </c>
    </row>
    <row r="23" spans="1:4">
      <c r="A23" s="7" t="s">
        <v>886</v>
      </c>
      <c r="B23" s="8" t="s">
        <v>885</v>
      </c>
      <c r="C23" s="9">
        <v>42490</v>
      </c>
      <c r="D23" s="10">
        <v>497.66399999999999</v>
      </c>
    </row>
    <row r="24" spans="1:4">
      <c r="A24" s="7" t="s">
        <v>884</v>
      </c>
      <c r="B24" s="8" t="s">
        <v>883</v>
      </c>
      <c r="C24" s="9">
        <v>42490</v>
      </c>
      <c r="D24" s="10">
        <v>1952.913</v>
      </c>
    </row>
    <row r="25" spans="1:4">
      <c r="A25" s="7" t="s">
        <v>882</v>
      </c>
      <c r="B25" s="8" t="s">
        <v>881</v>
      </c>
      <c r="C25" s="9">
        <v>42490</v>
      </c>
      <c r="D25" s="10">
        <v>547.97299999999996</v>
      </c>
    </row>
    <row r="26" spans="1:4">
      <c r="A26" s="7" t="s">
        <v>880</v>
      </c>
      <c r="B26" s="8" t="s">
        <v>879</v>
      </c>
      <c r="C26" s="9">
        <v>42490</v>
      </c>
      <c r="D26" s="10">
        <v>1202.4559999999999</v>
      </c>
    </row>
    <row r="27" spans="1:4">
      <c r="A27" s="7" t="s">
        <v>878</v>
      </c>
      <c r="B27" s="8" t="s">
        <v>877</v>
      </c>
      <c r="C27" s="9">
        <v>42490</v>
      </c>
      <c r="D27" s="10">
        <v>1212.3820000000001</v>
      </c>
    </row>
    <row r="28" spans="1:4">
      <c r="A28" s="7" t="s">
        <v>876</v>
      </c>
      <c r="B28" s="8" t="s">
        <v>875</v>
      </c>
      <c r="C28" s="9">
        <v>42490</v>
      </c>
      <c r="D28" s="10">
        <v>355.29700000000003</v>
      </c>
    </row>
    <row r="29" spans="1:4">
      <c r="A29" s="7" t="s">
        <v>872</v>
      </c>
      <c r="B29" s="8" t="s">
        <v>871</v>
      </c>
      <c r="C29" s="9">
        <v>42494</v>
      </c>
      <c r="D29" s="10">
        <v>21386.812000000002</v>
      </c>
    </row>
    <row r="30" spans="1:4">
      <c r="A30" s="7" t="s">
        <v>674</v>
      </c>
      <c r="B30" s="8" t="s">
        <v>675</v>
      </c>
      <c r="C30" s="9">
        <v>42495</v>
      </c>
      <c r="D30" s="10">
        <v>1782.9939999999999</v>
      </c>
    </row>
    <row r="31" spans="1:4">
      <c r="A31" s="7" t="s">
        <v>874</v>
      </c>
      <c r="B31" s="8" t="s">
        <v>873</v>
      </c>
      <c r="C31" s="9">
        <v>42498</v>
      </c>
      <c r="D31" s="10">
        <v>1063.8230000000001</v>
      </c>
    </row>
    <row r="32" spans="1:4">
      <c r="A32" s="7" t="s">
        <v>872</v>
      </c>
      <c r="B32" s="8" t="s">
        <v>871</v>
      </c>
      <c r="C32" s="9">
        <v>42516</v>
      </c>
      <c r="D32" s="10">
        <v>16040.232</v>
      </c>
    </row>
    <row r="33" spans="1:12">
      <c r="A33" s="7" t="s">
        <v>870</v>
      </c>
      <c r="B33" s="8" t="s">
        <v>869</v>
      </c>
      <c r="C33" s="9">
        <v>42521</v>
      </c>
      <c r="D33" s="10">
        <v>1509.5920000000001</v>
      </c>
    </row>
    <row r="34" spans="1:12">
      <c r="A34" s="7" t="s">
        <v>868</v>
      </c>
      <c r="B34" s="8" t="s">
        <v>867</v>
      </c>
      <c r="C34" s="9">
        <v>42521</v>
      </c>
      <c r="D34" s="10">
        <v>1529.0809999999999</v>
      </c>
    </row>
    <row r="35" spans="1:12">
      <c r="A35" s="7" t="s">
        <v>866</v>
      </c>
      <c r="B35" s="8" t="s">
        <v>865</v>
      </c>
      <c r="C35" s="9">
        <v>42521</v>
      </c>
      <c r="D35" s="10">
        <v>1975.0909999999999</v>
      </c>
    </row>
    <row r="36" spans="1:12">
      <c r="A36" s="7" t="s">
        <v>864</v>
      </c>
      <c r="B36" s="8" t="s">
        <v>863</v>
      </c>
      <c r="C36" s="9">
        <v>42521</v>
      </c>
      <c r="D36" s="10">
        <v>4935.0959999999995</v>
      </c>
    </row>
    <row r="37" spans="1:12">
      <c r="A37" s="7" t="s">
        <v>862</v>
      </c>
      <c r="B37" s="8" t="s">
        <v>861</v>
      </c>
      <c r="C37" s="9">
        <v>42521</v>
      </c>
      <c r="D37" s="10">
        <v>833.85199999999998</v>
      </c>
    </row>
    <row r="38" spans="1:12">
      <c r="A38" s="7" t="s">
        <v>860</v>
      </c>
      <c r="B38" s="8" t="s">
        <v>859</v>
      </c>
      <c r="C38" s="9">
        <v>42521</v>
      </c>
      <c r="D38" s="10">
        <v>348.01100000000002</v>
      </c>
    </row>
    <row r="39" spans="1:12" ht="15.75" thickBot="1">
      <c r="A39" s="11" t="s">
        <v>858</v>
      </c>
      <c r="B39" s="12" t="s">
        <v>857</v>
      </c>
      <c r="C39" s="13">
        <v>42521</v>
      </c>
      <c r="D39" s="14">
        <v>1055.3219999999999</v>
      </c>
    </row>
    <row r="40" spans="1:12" s="334" customFormat="1" ht="15.75" thickBot="1">
      <c r="A40" s="668" t="s">
        <v>610</v>
      </c>
      <c r="B40" s="669"/>
      <c r="C40" s="669"/>
      <c r="D40" s="335">
        <f>SUM(D2:D39)</f>
        <v>143027.85799999998</v>
      </c>
      <c r="L40" s="464"/>
    </row>
    <row r="41" spans="1:12">
      <c r="A41" s="3" t="s">
        <v>640</v>
      </c>
      <c r="B41" s="4" t="s">
        <v>641</v>
      </c>
      <c r="C41" s="5">
        <v>42526</v>
      </c>
      <c r="D41" s="6">
        <v>4428.6409999999996</v>
      </c>
    </row>
    <row r="42" spans="1:12">
      <c r="A42" s="7" t="s">
        <v>3</v>
      </c>
      <c r="B42" s="8" t="s">
        <v>2</v>
      </c>
      <c r="C42" s="9">
        <v>42526</v>
      </c>
      <c r="D42" s="10">
        <v>3170.9209999999998</v>
      </c>
    </row>
    <row r="43" spans="1:12">
      <c r="A43" s="7" t="s">
        <v>1</v>
      </c>
      <c r="B43" s="8" t="s">
        <v>0</v>
      </c>
      <c r="C43" s="9">
        <v>42526</v>
      </c>
      <c r="D43" s="10">
        <v>1164.172</v>
      </c>
    </row>
    <row r="44" spans="1:12">
      <c r="A44" s="7" t="s">
        <v>7</v>
      </c>
      <c r="B44" s="8" t="s">
        <v>6</v>
      </c>
      <c r="C44" s="9">
        <v>42528</v>
      </c>
      <c r="D44" s="10">
        <v>1258</v>
      </c>
    </row>
    <row r="45" spans="1:12">
      <c r="A45" s="7" t="s">
        <v>608</v>
      </c>
      <c r="B45" s="8" t="s">
        <v>609</v>
      </c>
      <c r="C45" s="9">
        <v>42531</v>
      </c>
      <c r="D45" s="10">
        <v>3273.8989999999999</v>
      </c>
    </row>
    <row r="46" spans="1:12">
      <c r="A46" s="7" t="s">
        <v>606</v>
      </c>
      <c r="B46" s="8" t="s">
        <v>607</v>
      </c>
      <c r="C46" s="9">
        <v>42531</v>
      </c>
      <c r="D46" s="10">
        <v>3000</v>
      </c>
    </row>
    <row r="47" spans="1:12">
      <c r="A47" s="7" t="s">
        <v>7</v>
      </c>
      <c r="B47" s="8" t="s">
        <v>6</v>
      </c>
      <c r="C47" s="9">
        <v>42531</v>
      </c>
      <c r="D47" s="10">
        <v>1220.663</v>
      </c>
    </row>
    <row r="48" spans="1:12">
      <c r="A48" s="7" t="s">
        <v>1</v>
      </c>
      <c r="B48" s="8" t="s">
        <v>0</v>
      </c>
      <c r="C48" s="9">
        <v>42536</v>
      </c>
      <c r="D48" s="10">
        <v>2466.33</v>
      </c>
    </row>
    <row r="49" spans="1:4">
      <c r="A49" s="7" t="s">
        <v>1</v>
      </c>
      <c r="B49" s="8" t="s">
        <v>0</v>
      </c>
      <c r="C49" s="9">
        <v>42546</v>
      </c>
      <c r="D49" s="10">
        <v>2500</v>
      </c>
    </row>
    <row r="50" spans="1:4">
      <c r="A50" s="7" t="s">
        <v>606</v>
      </c>
      <c r="B50" s="8" t="s">
        <v>607</v>
      </c>
      <c r="C50" s="9">
        <v>42551</v>
      </c>
      <c r="D50" s="10">
        <v>3505.3589999999999</v>
      </c>
    </row>
    <row r="51" spans="1:4">
      <c r="A51" s="7" t="s">
        <v>640</v>
      </c>
      <c r="B51" s="8" t="s">
        <v>641</v>
      </c>
      <c r="C51" s="9">
        <v>42556</v>
      </c>
      <c r="D51" s="10">
        <v>12152.355</v>
      </c>
    </row>
    <row r="52" spans="1:4" ht="15.75" thickBot="1">
      <c r="A52" s="11" t="s">
        <v>856</v>
      </c>
      <c r="B52" s="12" t="s">
        <v>855</v>
      </c>
      <c r="C52" s="13">
        <v>42587</v>
      </c>
      <c r="D52" s="14">
        <v>2503.1109999999999</v>
      </c>
    </row>
    <row r="53" spans="1:4" ht="15.75" thickBot="1">
      <c r="A53" s="668" t="s">
        <v>480</v>
      </c>
      <c r="B53" s="669"/>
      <c r="C53" s="669"/>
      <c r="D53" s="335">
        <f>SUM(D41:D52)</f>
        <v>40643.450999999994</v>
      </c>
    </row>
    <row r="54" spans="1:4" ht="15.75" thickBot="1"/>
    <row r="55" spans="1:4" ht="15.75" thickBot="1">
      <c r="A55" s="670" t="s">
        <v>810</v>
      </c>
      <c r="B55" s="670"/>
      <c r="C55" s="670"/>
      <c r="D55" s="465">
        <f>D53+D40</f>
        <v>183671.30899999998</v>
      </c>
    </row>
  </sheetData>
  <mergeCells count="3">
    <mergeCell ref="A40:C40"/>
    <mergeCell ref="A53:C53"/>
    <mergeCell ref="A55:C55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3:K27"/>
  <sheetViews>
    <sheetView workbookViewId="0">
      <selection activeCell="H28" sqref="H28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11" ht="18.75">
      <c r="A3" s="671" t="s">
        <v>560</v>
      </c>
      <c r="B3" s="671"/>
      <c r="C3" s="671"/>
      <c r="D3" s="671"/>
      <c r="E3" s="671"/>
      <c r="F3" s="671"/>
      <c r="G3" s="671"/>
      <c r="H3" s="671"/>
    </row>
    <row r="4" spans="1:11" ht="15.75">
      <c r="A4" s="672" t="s">
        <v>561</v>
      </c>
      <c r="B4" s="672"/>
      <c r="C4" s="672"/>
      <c r="D4" s="672"/>
      <c r="E4" s="672"/>
      <c r="F4" s="672"/>
      <c r="G4" s="672"/>
      <c r="H4" s="672"/>
    </row>
    <row r="5" spans="1:11" ht="15.75" thickBot="1"/>
    <row r="6" spans="1:11" ht="15.75" thickBot="1">
      <c r="B6" s="217" t="s">
        <v>562</v>
      </c>
      <c r="C6" s="218" t="s">
        <v>563</v>
      </c>
      <c r="D6" s="219" t="s">
        <v>564</v>
      </c>
      <c r="E6" s="220" t="s">
        <v>565</v>
      </c>
      <c r="F6" s="221" t="s">
        <v>566</v>
      </c>
      <c r="G6" s="221" t="s">
        <v>450</v>
      </c>
      <c r="H6" s="222" t="s">
        <v>567</v>
      </c>
    </row>
    <row r="7" spans="1:11" s="83" customFormat="1" ht="15.75" thickBot="1">
      <c r="A7" s="478" t="s">
        <v>568</v>
      </c>
      <c r="B7" s="223"/>
      <c r="C7" s="224"/>
      <c r="D7" s="479"/>
      <c r="E7" s="480"/>
      <c r="F7" s="225"/>
      <c r="G7" s="226"/>
      <c r="H7" s="227"/>
    </row>
    <row r="8" spans="1:11" ht="15.75" thickBot="1">
      <c r="A8" s="673" t="s">
        <v>447</v>
      </c>
      <c r="B8" s="674"/>
      <c r="C8" s="674"/>
      <c r="D8" s="675"/>
      <c r="E8" s="228">
        <f>SUM(E7)</f>
        <v>0</v>
      </c>
      <c r="G8" s="229"/>
    </row>
    <row r="9" spans="1:11" ht="15.75" thickBot="1">
      <c r="C9" s="230"/>
    </row>
    <row r="10" spans="1:11" s="83" customFormat="1" ht="15.75" thickBot="1">
      <c r="A10" s="676" t="s">
        <v>569</v>
      </c>
      <c r="B10" s="223" t="s">
        <v>550</v>
      </c>
      <c r="C10" s="231">
        <v>218620.36</v>
      </c>
      <c r="D10" s="232">
        <v>1.9417500000000001</v>
      </c>
      <c r="E10" s="233">
        <f>+C10*D10</f>
        <v>424506.08402999997</v>
      </c>
      <c r="F10" s="225">
        <v>42146</v>
      </c>
      <c r="G10" s="234">
        <v>42422</v>
      </c>
      <c r="H10" s="227" t="s">
        <v>570</v>
      </c>
      <c r="I10" s="235"/>
      <c r="K10" s="235"/>
    </row>
    <row r="11" spans="1:11" s="83" customFormat="1" ht="15.75" thickBot="1">
      <c r="A11" s="677"/>
      <c r="B11" s="223" t="s">
        <v>531</v>
      </c>
      <c r="C11" s="224">
        <v>192534.97</v>
      </c>
      <c r="D11" s="232">
        <v>2.1875499999999999</v>
      </c>
      <c r="E11" s="233">
        <f>C11*D11</f>
        <v>421179.8736235</v>
      </c>
      <c r="F11" s="225">
        <v>42326</v>
      </c>
      <c r="G11" s="226">
        <v>42418</v>
      </c>
      <c r="H11" s="227" t="s">
        <v>571</v>
      </c>
      <c r="I11" s="235"/>
    </row>
    <row r="12" spans="1:11" ht="15.75" thickBot="1">
      <c r="A12" s="673" t="s">
        <v>447</v>
      </c>
      <c r="B12" s="674"/>
      <c r="C12" s="674"/>
      <c r="D12" s="675"/>
      <c r="E12" s="236">
        <f>SUM(E10:E11)</f>
        <v>845685.95765349991</v>
      </c>
      <c r="G12" s="229"/>
    </row>
    <row r="13" spans="1:11">
      <c r="G13" s="229"/>
    </row>
    <row r="14" spans="1:11">
      <c r="B14" s="230"/>
      <c r="C14" s="230"/>
      <c r="E14" s="237"/>
      <c r="G14" s="229"/>
    </row>
    <row r="15" spans="1:11">
      <c r="C15" s="237"/>
      <c r="D15" s="2"/>
      <c r="G15" s="229"/>
    </row>
    <row r="16" spans="1:11">
      <c r="B16" s="237"/>
      <c r="C16" s="237"/>
      <c r="D16" s="2"/>
      <c r="E16" s="2"/>
      <c r="G16" s="229"/>
    </row>
    <row r="17" spans="1:8">
      <c r="C17" s="237"/>
      <c r="F17" s="1"/>
      <c r="G17" s="1"/>
      <c r="H17" s="1"/>
    </row>
    <row r="18" spans="1:8">
      <c r="C18" s="2"/>
      <c r="E18" s="1"/>
      <c r="F18" s="1"/>
      <c r="G18" s="1"/>
      <c r="H18" s="1"/>
    </row>
    <row r="19" spans="1:8">
      <c r="C19" s="237"/>
    </row>
    <row r="20" spans="1:8">
      <c r="A20" s="237"/>
      <c r="C20" s="237"/>
    </row>
    <row r="21" spans="1:8">
      <c r="C21" s="237"/>
    </row>
    <row r="22" spans="1:8">
      <c r="C22" s="237"/>
      <c r="F22" s="229"/>
    </row>
    <row r="23" spans="1:8">
      <c r="C23" s="237"/>
      <c r="F23" s="229"/>
    </row>
    <row r="24" spans="1:8">
      <c r="C24" s="2"/>
      <c r="F24" s="229"/>
    </row>
    <row r="25" spans="1:8">
      <c r="F25" s="229"/>
    </row>
    <row r="26" spans="1:8">
      <c r="F26" s="229"/>
    </row>
    <row r="27" spans="1:8">
      <c r="C27" s="2"/>
      <c r="F27" s="229"/>
    </row>
  </sheetData>
  <mergeCells count="5">
    <mergeCell ref="A3:H3"/>
    <mergeCell ref="A4:H4"/>
    <mergeCell ref="A8:D8"/>
    <mergeCell ref="A10:A11"/>
    <mergeCell ref="A12:D12"/>
  </mergeCells>
  <pageMargins left="0.70866141732283472" right="0.70866141732283472" top="0.74803149606299213" bottom="0.74803149606299213" header="0.31496062992125984" footer="0.31496062992125984"/>
  <pageSetup paperSize="9" scale="97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9"/>
  <sheetViews>
    <sheetView workbookViewId="0">
      <selection activeCell="L27" sqref="L27"/>
    </sheetView>
  </sheetViews>
  <sheetFormatPr baseColWidth="10" defaultRowHeight="12"/>
  <cols>
    <col min="1" max="1" width="9.85546875" style="19" bestFit="1" customWidth="1"/>
    <col min="2" max="2" width="14.7109375" style="18" bestFit="1" customWidth="1"/>
    <col min="3" max="3" width="9.85546875" style="18" bestFit="1" customWidth="1"/>
    <col min="4" max="4" width="10" style="18" bestFit="1" customWidth="1"/>
    <col min="5" max="5" width="11.28515625" style="18" bestFit="1" customWidth="1"/>
    <col min="6" max="6" width="8.5703125" style="18" bestFit="1" customWidth="1"/>
    <col min="7" max="7" width="13.140625" style="18" bestFit="1" customWidth="1"/>
    <col min="8" max="8" width="9.85546875" style="18" bestFit="1" customWidth="1"/>
    <col min="9" max="9" width="14" style="18" bestFit="1" customWidth="1"/>
    <col min="10" max="10" width="10.85546875" style="18" bestFit="1" customWidth="1"/>
    <col min="11" max="11" width="2.42578125" style="18" bestFit="1" customWidth="1"/>
    <col min="12" max="12" width="11" style="18" bestFit="1" customWidth="1"/>
    <col min="13" max="13" width="8.85546875" style="18" bestFit="1" customWidth="1"/>
    <col min="14" max="17" width="11.42578125" style="18"/>
    <col min="18" max="18" width="11.7109375" style="18" bestFit="1" customWidth="1"/>
    <col min="19" max="16384" width="11.42578125" style="18"/>
  </cols>
  <sheetData>
    <row r="1" spans="1:10">
      <c r="A1" s="36">
        <f ca="1">TODAY()</f>
        <v>42628</v>
      </c>
    </row>
    <row r="2" spans="1:10">
      <c r="A2" s="36"/>
      <c r="B2" s="18" t="s">
        <v>435</v>
      </c>
      <c r="C2" s="35">
        <v>42369</v>
      </c>
      <c r="D2" s="18">
        <v>2.2161300000000002</v>
      </c>
    </row>
    <row r="3" spans="1:10">
      <c r="A3" s="36"/>
      <c r="B3" s="18" t="s">
        <v>434</v>
      </c>
      <c r="C3" s="35">
        <v>42369</v>
      </c>
      <c r="D3" s="18">
        <v>2.04074</v>
      </c>
    </row>
    <row r="4" spans="1:10">
      <c r="A4" s="36"/>
      <c r="B4" s="18" t="s">
        <v>433</v>
      </c>
      <c r="C4" s="35">
        <v>42369</v>
      </c>
      <c r="D4" s="18">
        <v>3.0085600000000001</v>
      </c>
    </row>
    <row r="5" spans="1:10" ht="12.75" thickBot="1">
      <c r="B5" s="680" t="s">
        <v>767</v>
      </c>
      <c r="C5" s="680"/>
      <c r="D5" s="680"/>
      <c r="E5" s="680"/>
      <c r="F5" s="680"/>
      <c r="G5" s="680"/>
      <c r="H5" s="680"/>
      <c r="I5" s="680"/>
      <c r="J5" s="680"/>
    </row>
    <row r="6" spans="1:10">
      <c r="B6" s="253" t="s">
        <v>429</v>
      </c>
      <c r="C6" s="254" t="s">
        <v>428</v>
      </c>
      <c r="D6" s="254" t="s">
        <v>427</v>
      </c>
      <c r="E6" s="254" t="s">
        <v>426</v>
      </c>
      <c r="F6" s="254" t="s">
        <v>425</v>
      </c>
      <c r="G6" s="254" t="s">
        <v>424</v>
      </c>
      <c r="H6" s="254" t="s">
        <v>423</v>
      </c>
      <c r="I6" s="254" t="s">
        <v>422</v>
      </c>
      <c r="J6" s="255" t="s">
        <v>421</v>
      </c>
    </row>
    <row r="7" spans="1:10" s="22" customFormat="1">
      <c r="A7" s="603"/>
      <c r="B7" s="337" t="s">
        <v>716</v>
      </c>
      <c r="C7" s="338" t="s">
        <v>419</v>
      </c>
      <c r="D7" s="339">
        <v>2830.72</v>
      </c>
      <c r="E7" s="339">
        <f>D7*$D$2</f>
        <v>6273.2435136000004</v>
      </c>
      <c r="F7" s="345"/>
      <c r="G7" s="341">
        <v>42361</v>
      </c>
      <c r="H7" s="341">
        <f>+G7+60</f>
        <v>42421</v>
      </c>
      <c r="I7" s="342"/>
      <c r="J7" s="344"/>
    </row>
    <row r="8" spans="1:10" s="22" customFormat="1">
      <c r="A8" s="603"/>
      <c r="B8" s="337" t="s">
        <v>761</v>
      </c>
      <c r="C8" s="338" t="s">
        <v>419</v>
      </c>
      <c r="D8" s="339">
        <v>9962.7199999999993</v>
      </c>
      <c r="E8" s="339">
        <f>D8*$D$2</f>
        <v>22078.6826736</v>
      </c>
      <c r="F8" s="345"/>
      <c r="G8" s="341">
        <v>42383</v>
      </c>
      <c r="H8" s="341">
        <f>+G8+60</f>
        <v>42443</v>
      </c>
      <c r="I8" s="261"/>
      <c r="J8" s="262"/>
    </row>
    <row r="9" spans="1:10" s="22" customFormat="1">
      <c r="A9" s="603"/>
      <c r="B9" s="337" t="s">
        <v>760</v>
      </c>
      <c r="C9" s="338" t="s">
        <v>419</v>
      </c>
      <c r="D9" s="339">
        <v>10975.97</v>
      </c>
      <c r="E9" s="339">
        <f>D9*$D$2</f>
        <v>24324.1763961</v>
      </c>
      <c r="F9" s="345"/>
      <c r="G9" s="341">
        <v>42384</v>
      </c>
      <c r="H9" s="341">
        <f>+G9+60</f>
        <v>42444</v>
      </c>
      <c r="I9" s="261"/>
      <c r="J9" s="262"/>
    </row>
    <row r="10" spans="1:10" s="22" customFormat="1">
      <c r="A10" s="603"/>
      <c r="B10" s="337" t="s">
        <v>643</v>
      </c>
      <c r="C10" s="338" t="s">
        <v>419</v>
      </c>
      <c r="D10" s="339">
        <v>9453.2800000000007</v>
      </c>
      <c r="E10" s="339">
        <f>+D10*D2</f>
        <v>20949.697406400002</v>
      </c>
      <c r="F10" s="345"/>
      <c r="G10" s="341">
        <v>42361</v>
      </c>
      <c r="H10" s="341">
        <f>+G10+90</f>
        <v>42451</v>
      </c>
      <c r="I10" s="261"/>
      <c r="J10" s="262"/>
    </row>
    <row r="11" spans="1:10" s="22" customFormat="1">
      <c r="A11" s="603"/>
      <c r="B11" s="337" t="s">
        <v>923</v>
      </c>
      <c r="C11" s="338" t="s">
        <v>419</v>
      </c>
      <c r="D11" s="339">
        <v>8112.24</v>
      </c>
      <c r="E11" s="339">
        <f>+D11*D2</f>
        <v>17977.7784312</v>
      </c>
      <c r="F11" s="345"/>
      <c r="G11" s="341">
        <v>42398</v>
      </c>
      <c r="H11" s="341">
        <f>+G11+60</f>
        <v>42458</v>
      </c>
      <c r="I11" s="261"/>
      <c r="J11" s="262"/>
    </row>
    <row r="12" spans="1:10" s="22" customFormat="1">
      <c r="B12" s="256" t="s">
        <v>643</v>
      </c>
      <c r="C12" s="257" t="s">
        <v>419</v>
      </c>
      <c r="D12" s="258">
        <v>12337.23</v>
      </c>
      <c r="E12" s="258">
        <f>+D12*D2</f>
        <v>27340.905519899999</v>
      </c>
      <c r="F12" s="259"/>
      <c r="G12" s="260">
        <v>42394</v>
      </c>
      <c r="H12" s="260">
        <f>G12+90</f>
        <v>42484</v>
      </c>
      <c r="I12" s="261"/>
      <c r="J12" s="262"/>
    </row>
    <row r="13" spans="1:10" s="22" customFormat="1">
      <c r="B13" s="256" t="s">
        <v>939</v>
      </c>
      <c r="C13" s="257" t="s">
        <v>419</v>
      </c>
      <c r="D13" s="258">
        <v>17541.43</v>
      </c>
      <c r="E13" s="258">
        <f>+D13*D2</f>
        <v>38874.089265900002</v>
      </c>
      <c r="F13" s="259"/>
      <c r="G13" s="260">
        <v>42447</v>
      </c>
      <c r="H13" s="260">
        <f>+G13+60</f>
        <v>42507</v>
      </c>
      <c r="I13" s="261"/>
      <c r="J13" s="262"/>
    </row>
    <row r="14" spans="1:10" s="22" customFormat="1">
      <c r="B14" s="256" t="s">
        <v>713</v>
      </c>
      <c r="C14" s="257" t="s">
        <v>419</v>
      </c>
      <c r="D14" s="258">
        <v>6175</v>
      </c>
      <c r="E14" s="258">
        <f>+D14*$D$2</f>
        <v>13684.602750000002</v>
      </c>
      <c r="F14" s="259"/>
      <c r="G14" s="260">
        <v>42424</v>
      </c>
      <c r="H14" s="260">
        <f>+G14+90</f>
        <v>42514</v>
      </c>
      <c r="I14" s="261"/>
      <c r="J14" s="262"/>
    </row>
    <row r="15" spans="1:10" s="22" customFormat="1">
      <c r="B15" s="256" t="s">
        <v>947</v>
      </c>
      <c r="C15" s="257" t="s">
        <v>419</v>
      </c>
      <c r="D15" s="258">
        <v>2426.09</v>
      </c>
      <c r="E15" s="258">
        <f>+D15*$D$2</f>
        <v>5376.5308317000008</v>
      </c>
      <c r="F15" s="259"/>
      <c r="G15" s="260">
        <v>42460</v>
      </c>
      <c r="H15" s="260">
        <f>+G15+60</f>
        <v>42520</v>
      </c>
      <c r="I15" s="261"/>
      <c r="J15" s="262"/>
    </row>
    <row r="16" spans="1:10" s="22" customFormat="1">
      <c r="B16" s="256" t="s">
        <v>643</v>
      </c>
      <c r="C16" s="257" t="s">
        <v>419</v>
      </c>
      <c r="D16" s="258">
        <v>21742.54</v>
      </c>
      <c r="E16" s="258">
        <f>+D16*$D$2</f>
        <v>48184.295170200006</v>
      </c>
      <c r="F16" s="259"/>
      <c r="G16" s="260">
        <v>42464</v>
      </c>
      <c r="H16" s="260">
        <f>+G16+90</f>
        <v>42554</v>
      </c>
      <c r="I16" s="261"/>
      <c r="J16" s="262"/>
    </row>
    <row r="17" spans="1:14" s="22" customFormat="1">
      <c r="B17" s="256" t="s">
        <v>950</v>
      </c>
      <c r="C17" s="257" t="s">
        <v>419</v>
      </c>
      <c r="D17" s="258">
        <v>8677.7800000000007</v>
      </c>
      <c r="E17" s="258">
        <f>+D17*$D$2</f>
        <v>19231.088591400003</v>
      </c>
      <c r="F17" s="259"/>
      <c r="G17" s="260">
        <v>42489</v>
      </c>
      <c r="H17" s="260">
        <f>+G17+60</f>
        <v>42549</v>
      </c>
      <c r="I17" s="261"/>
      <c r="J17" s="262"/>
    </row>
    <row r="18" spans="1:14" s="22" customFormat="1" ht="12.75" thickBot="1">
      <c r="B18" s="28"/>
      <c r="C18" s="26"/>
      <c r="D18" s="27"/>
      <c r="E18" s="27"/>
      <c r="F18" s="264"/>
      <c r="G18" s="24"/>
      <c r="H18" s="24"/>
      <c r="I18" s="23"/>
      <c r="J18" s="34"/>
    </row>
    <row r="19" spans="1:14">
      <c r="B19" s="21"/>
      <c r="C19" s="20"/>
      <c r="D19" s="30"/>
      <c r="E19" s="30"/>
      <c r="F19" s="20"/>
      <c r="G19" s="33"/>
      <c r="H19" s="32"/>
      <c r="I19" s="31"/>
    </row>
    <row r="20" spans="1:14">
      <c r="B20" s="679" t="s">
        <v>646</v>
      </c>
      <c r="C20" s="679"/>
      <c r="D20" s="265">
        <f>SUM(D7:D12)</f>
        <v>53672.159999999989</v>
      </c>
      <c r="E20" s="265">
        <f>SUM(E7:E12)</f>
        <v>118944.4839408</v>
      </c>
      <c r="F20" s="20"/>
      <c r="G20" s="266"/>
      <c r="H20" s="32"/>
      <c r="I20" s="31"/>
      <c r="M20" s="267"/>
    </row>
    <row r="21" spans="1:14">
      <c r="B21" s="21"/>
      <c r="C21" s="20"/>
      <c r="D21" s="30"/>
      <c r="E21" s="30"/>
      <c r="F21" s="20"/>
      <c r="G21" s="33"/>
      <c r="H21" s="32"/>
      <c r="I21" s="31"/>
    </row>
    <row r="22" spans="1:14">
      <c r="B22" s="679" t="s">
        <v>647</v>
      </c>
      <c r="C22" s="679"/>
      <c r="D22" s="265">
        <v>0</v>
      </c>
      <c r="E22" s="265">
        <v>0</v>
      </c>
      <c r="F22" s="20"/>
      <c r="G22" s="268"/>
      <c r="H22" s="32"/>
      <c r="I22" s="31"/>
      <c r="M22" s="267"/>
    </row>
    <row r="23" spans="1:14">
      <c r="B23" s="21"/>
      <c r="C23" s="20"/>
      <c r="D23" s="30"/>
      <c r="E23" s="30"/>
      <c r="F23" s="20"/>
      <c r="G23" s="30"/>
      <c r="H23" s="32"/>
      <c r="I23" s="31"/>
      <c r="M23" s="267"/>
    </row>
    <row r="24" spans="1:14">
      <c r="B24" s="679" t="s">
        <v>648</v>
      </c>
      <c r="C24" s="679"/>
      <c r="D24" s="265">
        <v>0</v>
      </c>
      <c r="E24" s="265">
        <v>0</v>
      </c>
      <c r="F24" s="20"/>
      <c r="G24" s="30"/>
      <c r="H24" s="32"/>
      <c r="I24" s="31"/>
    </row>
    <row r="25" spans="1:14">
      <c r="D25" s="30"/>
      <c r="G25" s="18" t="s">
        <v>418</v>
      </c>
      <c r="M25" s="29"/>
    </row>
    <row r="26" spans="1:14" ht="12.75" thickBot="1">
      <c r="B26" s="678" t="s">
        <v>768</v>
      </c>
      <c r="C26" s="678"/>
      <c r="D26" s="678"/>
      <c r="E26" s="678"/>
      <c r="F26" s="678"/>
      <c r="G26" s="678"/>
      <c r="H26" s="678"/>
      <c r="I26" s="678"/>
      <c r="J26" s="678"/>
    </row>
    <row r="27" spans="1:14">
      <c r="B27" s="253" t="s">
        <v>429</v>
      </c>
      <c r="C27" s="254" t="s">
        <v>428</v>
      </c>
      <c r="D27" s="254" t="s">
        <v>427</v>
      </c>
      <c r="E27" s="254" t="s">
        <v>426</v>
      </c>
      <c r="F27" s="254" t="s">
        <v>425</v>
      </c>
      <c r="G27" s="254" t="s">
        <v>424</v>
      </c>
      <c r="H27" s="254" t="s">
        <v>423</v>
      </c>
      <c r="I27" s="254" t="s">
        <v>422</v>
      </c>
      <c r="J27" s="255" t="s">
        <v>421</v>
      </c>
    </row>
    <row r="28" spans="1:14" s="22" customFormat="1">
      <c r="B28" s="337" t="s">
        <v>457</v>
      </c>
      <c r="C28" s="338" t="s">
        <v>419</v>
      </c>
      <c r="D28" s="339">
        <v>9566.5</v>
      </c>
      <c r="E28" s="339">
        <f>D28*$D$2</f>
        <v>21200.607645</v>
      </c>
      <c r="F28" s="338"/>
      <c r="G28" s="340">
        <v>42325</v>
      </c>
      <c r="H28" s="341">
        <f>+G28+30</f>
        <v>42355</v>
      </c>
      <c r="I28" s="342"/>
      <c r="J28" s="343"/>
    </row>
    <row r="29" spans="1:14" s="22" customFormat="1">
      <c r="B29" s="337" t="s">
        <v>420</v>
      </c>
      <c r="C29" s="338" t="s">
        <v>419</v>
      </c>
      <c r="D29" s="339">
        <v>1109.6099999999999</v>
      </c>
      <c r="E29" s="339">
        <f>+D29*$D$2</f>
        <v>2459.0400092999998</v>
      </c>
      <c r="F29" s="338"/>
      <c r="G29" s="340">
        <v>42347</v>
      </c>
      <c r="H29" s="341">
        <f>+G29+30</f>
        <v>42377</v>
      </c>
      <c r="I29" s="342"/>
      <c r="J29" s="343"/>
      <c r="N29" s="394"/>
    </row>
    <row r="30" spans="1:14" s="22" customFormat="1">
      <c r="A30" s="603"/>
      <c r="B30" s="337" t="s">
        <v>649</v>
      </c>
      <c r="C30" s="338" t="s">
        <v>419</v>
      </c>
      <c r="D30" s="339">
        <v>22432.16</v>
      </c>
      <c r="E30" s="339">
        <f t="shared" ref="E30:E67" si="0">D30*$D$2</f>
        <v>49712.582740800004</v>
      </c>
      <c r="F30" s="338"/>
      <c r="G30" s="340">
        <v>42327</v>
      </c>
      <c r="H30" s="341">
        <f>+G30+60</f>
        <v>42387</v>
      </c>
      <c r="I30" s="342"/>
      <c r="J30" s="343"/>
      <c r="N30" s="394"/>
    </row>
    <row r="31" spans="1:14" s="22" customFormat="1">
      <c r="A31" s="603"/>
      <c r="B31" s="337" t="s">
        <v>765</v>
      </c>
      <c r="C31" s="338" t="s">
        <v>419</v>
      </c>
      <c r="D31" s="339">
        <v>5045</v>
      </c>
      <c r="E31" s="339">
        <f t="shared" si="0"/>
        <v>11180.37585</v>
      </c>
      <c r="F31" s="338"/>
      <c r="G31" s="340">
        <v>42377</v>
      </c>
      <c r="H31" s="341">
        <f>+G31+30</f>
        <v>42407</v>
      </c>
      <c r="I31" s="342"/>
      <c r="J31" s="343"/>
    </row>
    <row r="32" spans="1:14" s="22" customFormat="1">
      <c r="A32" s="371"/>
      <c r="B32" s="337" t="s">
        <v>654</v>
      </c>
      <c r="C32" s="338" t="s">
        <v>419</v>
      </c>
      <c r="D32" s="339">
        <v>9208.11</v>
      </c>
      <c r="E32" s="339">
        <f t="shared" si="0"/>
        <v>20406.368814300004</v>
      </c>
      <c r="F32" s="338"/>
      <c r="G32" s="340">
        <v>42349</v>
      </c>
      <c r="H32" s="341">
        <f>G32+60</f>
        <v>42409</v>
      </c>
      <c r="I32" s="342"/>
      <c r="J32" s="343"/>
    </row>
    <row r="33" spans="1:10" s="22" customFormat="1">
      <c r="A33" s="371"/>
      <c r="B33" s="337" t="s">
        <v>653</v>
      </c>
      <c r="C33" s="338" t="s">
        <v>419</v>
      </c>
      <c r="D33" s="339">
        <v>14170.6</v>
      </c>
      <c r="E33" s="339">
        <f t="shared" si="0"/>
        <v>31403.891778000005</v>
      </c>
      <c r="F33" s="338"/>
      <c r="G33" s="340">
        <v>42349</v>
      </c>
      <c r="H33" s="341">
        <f>G33+60</f>
        <v>42409</v>
      </c>
      <c r="I33" s="342"/>
      <c r="J33" s="343"/>
    </row>
    <row r="34" spans="1:10" s="22" customFormat="1">
      <c r="A34" s="603"/>
      <c r="B34" s="337" t="s">
        <v>764</v>
      </c>
      <c r="C34" s="338" t="s">
        <v>419</v>
      </c>
      <c r="D34" s="339">
        <v>8775.57</v>
      </c>
      <c r="E34" s="339">
        <f t="shared" si="0"/>
        <v>19447.8039441</v>
      </c>
      <c r="F34" s="338"/>
      <c r="G34" s="340">
        <v>42380</v>
      </c>
      <c r="H34" s="341">
        <f>+G34+30</f>
        <v>42410</v>
      </c>
      <c r="I34" s="342"/>
      <c r="J34" s="343"/>
    </row>
    <row r="35" spans="1:10" s="22" customFormat="1">
      <c r="A35" s="603"/>
      <c r="B35" s="337" t="s">
        <v>655</v>
      </c>
      <c r="C35" s="338" t="s">
        <v>419</v>
      </c>
      <c r="D35" s="339">
        <v>13840.98</v>
      </c>
      <c r="E35" s="339">
        <f t="shared" si="0"/>
        <v>30673.411007400002</v>
      </c>
      <c r="F35" s="338"/>
      <c r="G35" s="340">
        <v>42355</v>
      </c>
      <c r="H35" s="341">
        <f>G35+60</f>
        <v>42415</v>
      </c>
      <c r="I35" s="342"/>
      <c r="J35" s="343"/>
    </row>
    <row r="36" spans="1:10" s="22" customFormat="1">
      <c r="A36" s="603"/>
      <c r="B36" s="337" t="s">
        <v>656</v>
      </c>
      <c r="C36" s="338" t="s">
        <v>419</v>
      </c>
      <c r="D36" s="339">
        <v>18373.14</v>
      </c>
      <c r="E36" s="339">
        <f t="shared" si="0"/>
        <v>40717.266748200003</v>
      </c>
      <c r="F36" s="338"/>
      <c r="G36" s="340">
        <v>42356</v>
      </c>
      <c r="H36" s="341">
        <f>G36+60</f>
        <v>42416</v>
      </c>
      <c r="I36" s="342"/>
      <c r="J36" s="343"/>
    </row>
    <row r="37" spans="1:10" s="22" customFormat="1">
      <c r="A37" s="603"/>
      <c r="B37" s="337" t="s">
        <v>714</v>
      </c>
      <c r="C37" s="338" t="s">
        <v>419</v>
      </c>
      <c r="D37" s="339">
        <v>17363.88</v>
      </c>
      <c r="E37" s="339">
        <f t="shared" si="0"/>
        <v>38480.615384400007</v>
      </c>
      <c r="F37" s="338"/>
      <c r="G37" s="340">
        <v>42359</v>
      </c>
      <c r="H37" s="341">
        <f>+G37+60</f>
        <v>42419</v>
      </c>
      <c r="I37" s="342"/>
      <c r="J37" s="343"/>
    </row>
    <row r="38" spans="1:10" s="22" customFormat="1">
      <c r="A38" s="603"/>
      <c r="B38" s="337" t="s">
        <v>715</v>
      </c>
      <c r="C38" s="338" t="s">
        <v>419</v>
      </c>
      <c r="D38" s="339">
        <v>9460.14</v>
      </c>
      <c r="E38" s="339">
        <f t="shared" si="0"/>
        <v>20964.900058200001</v>
      </c>
      <c r="F38" s="338"/>
      <c r="G38" s="340">
        <v>42361</v>
      </c>
      <c r="H38" s="341">
        <f>+G38+60</f>
        <v>42421</v>
      </c>
      <c r="I38" s="342"/>
      <c r="J38" s="343"/>
    </row>
    <row r="39" spans="1:10" s="22" customFormat="1">
      <c r="A39" s="603"/>
      <c r="B39" s="337" t="s">
        <v>712</v>
      </c>
      <c r="C39" s="338" t="s">
        <v>419</v>
      </c>
      <c r="D39" s="339">
        <v>11713.11</v>
      </c>
      <c r="E39" s="339">
        <f t="shared" si="0"/>
        <v>25957.774464300004</v>
      </c>
      <c r="F39" s="338"/>
      <c r="G39" s="340">
        <v>42367</v>
      </c>
      <c r="H39" s="341">
        <f>G39+60</f>
        <v>42427</v>
      </c>
      <c r="I39" s="342"/>
      <c r="J39" s="343"/>
    </row>
    <row r="40" spans="1:10" s="22" customFormat="1">
      <c r="A40" s="603"/>
      <c r="B40" s="337" t="s">
        <v>766</v>
      </c>
      <c r="C40" s="338" t="s">
        <v>419</v>
      </c>
      <c r="D40" s="339">
        <v>8951.85</v>
      </c>
      <c r="E40" s="339">
        <f t="shared" si="0"/>
        <v>19838.463340500002</v>
      </c>
      <c r="F40" s="338"/>
      <c r="G40" s="340">
        <v>42376</v>
      </c>
      <c r="H40" s="341">
        <f>+G40+60</f>
        <v>42436</v>
      </c>
      <c r="I40" s="342"/>
      <c r="J40" s="343"/>
    </row>
    <row r="41" spans="1:10" s="22" customFormat="1">
      <c r="A41" s="603"/>
      <c r="B41" s="337" t="s">
        <v>763</v>
      </c>
      <c r="C41" s="338" t="s">
        <v>419</v>
      </c>
      <c r="D41" s="339">
        <v>8150.27</v>
      </c>
      <c r="E41" s="339">
        <f t="shared" si="0"/>
        <v>18062.057855100004</v>
      </c>
      <c r="F41" s="338"/>
      <c r="G41" s="340">
        <v>42381</v>
      </c>
      <c r="H41" s="341">
        <f>+G41+60</f>
        <v>42441</v>
      </c>
      <c r="I41" s="342"/>
      <c r="J41" s="343"/>
    </row>
    <row r="42" spans="1:10" s="22" customFormat="1">
      <c r="A42" s="603"/>
      <c r="B42" s="337" t="s">
        <v>651</v>
      </c>
      <c r="C42" s="338" t="s">
        <v>419</v>
      </c>
      <c r="D42" s="339">
        <f>11032.82+660</f>
        <v>11692.82</v>
      </c>
      <c r="E42" s="339">
        <f t="shared" si="0"/>
        <v>25912.8091866</v>
      </c>
      <c r="F42" s="338"/>
      <c r="G42" s="340">
        <v>42353</v>
      </c>
      <c r="H42" s="341">
        <f>G42+90</f>
        <v>42443</v>
      </c>
      <c r="I42" s="342"/>
      <c r="J42" s="343"/>
    </row>
    <row r="43" spans="1:10" s="22" customFormat="1">
      <c r="A43" s="603"/>
      <c r="B43" s="337" t="s">
        <v>762</v>
      </c>
      <c r="C43" s="338" t="s">
        <v>419</v>
      </c>
      <c r="D43" s="339">
        <v>15057.42</v>
      </c>
      <c r="E43" s="339">
        <f t="shared" si="0"/>
        <v>33369.200184600006</v>
      </c>
      <c r="F43" s="338"/>
      <c r="G43" s="340">
        <v>42383</v>
      </c>
      <c r="H43" s="341">
        <f>G43+60</f>
        <v>42443</v>
      </c>
      <c r="I43" s="342"/>
      <c r="J43" s="343"/>
    </row>
    <row r="44" spans="1:10" s="22" customFormat="1">
      <c r="A44" s="603"/>
      <c r="B44" s="337" t="s">
        <v>931</v>
      </c>
      <c r="C44" s="338" t="s">
        <v>419</v>
      </c>
      <c r="D44" s="339">
        <v>24761.040000000001</v>
      </c>
      <c r="E44" s="339">
        <f t="shared" si="0"/>
        <v>54873.683575200004</v>
      </c>
      <c r="F44" s="338"/>
      <c r="G44" s="340">
        <v>42418</v>
      </c>
      <c r="H44" s="341">
        <f>+G44+30</f>
        <v>42448</v>
      </c>
      <c r="I44" s="342"/>
      <c r="J44" s="343"/>
    </row>
    <row r="45" spans="1:10" s="22" customFormat="1">
      <c r="A45" s="603"/>
      <c r="B45" s="337" t="s">
        <v>916</v>
      </c>
      <c r="C45" s="338" t="s">
        <v>419</v>
      </c>
      <c r="D45" s="339">
        <v>9735.57</v>
      </c>
      <c r="E45" s="339">
        <f t="shared" si="0"/>
        <v>21575.288744100002</v>
      </c>
      <c r="F45" s="338"/>
      <c r="G45" s="340">
        <v>42389</v>
      </c>
      <c r="H45" s="341">
        <f>G45+60</f>
        <v>42449</v>
      </c>
      <c r="I45" s="342"/>
      <c r="J45" s="343"/>
    </row>
    <row r="46" spans="1:10" s="22" customFormat="1">
      <c r="A46" s="603"/>
      <c r="B46" s="337" t="s">
        <v>917</v>
      </c>
      <c r="C46" s="338" t="s">
        <v>419</v>
      </c>
      <c r="D46" s="339">
        <v>23042.01</v>
      </c>
      <c r="E46" s="339">
        <f t="shared" si="0"/>
        <v>51064.089621300001</v>
      </c>
      <c r="F46" s="338"/>
      <c r="G46" s="340">
        <v>42390</v>
      </c>
      <c r="H46" s="341">
        <f>G46+60</f>
        <v>42450</v>
      </c>
      <c r="I46" s="342"/>
      <c r="J46" s="343"/>
    </row>
    <row r="47" spans="1:10" s="22" customFormat="1">
      <c r="A47" s="603"/>
      <c r="B47" s="337" t="s">
        <v>650</v>
      </c>
      <c r="C47" s="338" t="s">
        <v>419</v>
      </c>
      <c r="D47" s="339">
        <v>38217.11</v>
      </c>
      <c r="E47" s="339">
        <f t="shared" si="0"/>
        <v>84694.083984300014</v>
      </c>
      <c r="F47" s="338"/>
      <c r="G47" s="340">
        <v>42361</v>
      </c>
      <c r="H47" s="341">
        <f>G47+90</f>
        <v>42451</v>
      </c>
      <c r="I47" s="342"/>
      <c r="J47" s="343"/>
    </row>
    <row r="48" spans="1:10" s="22" customFormat="1">
      <c r="A48" s="603"/>
      <c r="B48" s="337" t="s">
        <v>915</v>
      </c>
      <c r="C48" s="338" t="s">
        <v>419</v>
      </c>
      <c r="D48" s="339">
        <v>14309.73</v>
      </c>
      <c r="E48" s="339">
        <f t="shared" si="0"/>
        <v>31712.2219449</v>
      </c>
      <c r="F48" s="338"/>
      <c r="G48" s="340">
        <v>42391</v>
      </c>
      <c r="H48" s="341">
        <f>G48+60</f>
        <v>42451</v>
      </c>
      <c r="I48" s="342"/>
      <c r="J48" s="343"/>
    </row>
    <row r="49" spans="1:10" s="22" customFormat="1">
      <c r="A49" s="603"/>
      <c r="B49" s="337" t="s">
        <v>918</v>
      </c>
      <c r="C49" s="338" t="s">
        <v>419</v>
      </c>
      <c r="D49" s="339">
        <v>11302.91</v>
      </c>
      <c r="E49" s="339">
        <f t="shared" si="0"/>
        <v>25048.7179383</v>
      </c>
      <c r="F49" s="338"/>
      <c r="G49" s="340">
        <v>42398</v>
      </c>
      <c r="H49" s="341">
        <f>G49+60</f>
        <v>42458</v>
      </c>
      <c r="I49" s="342"/>
      <c r="J49" s="343"/>
    </row>
    <row r="50" spans="1:10" s="22" customFormat="1">
      <c r="A50" s="603"/>
      <c r="B50" s="337" t="s">
        <v>932</v>
      </c>
      <c r="C50" s="338" t="s">
        <v>419</v>
      </c>
      <c r="D50" s="339">
        <v>5820.47</v>
      </c>
      <c r="E50" s="339">
        <f t="shared" si="0"/>
        <v>12898.918181100002</v>
      </c>
      <c r="F50" s="338"/>
      <c r="G50" s="340">
        <v>42430</v>
      </c>
      <c r="H50" s="341">
        <f>+G50+30</f>
        <v>42460</v>
      </c>
      <c r="I50" s="342"/>
      <c r="J50" s="343"/>
    </row>
    <row r="51" spans="1:10" s="22" customFormat="1">
      <c r="B51" s="256" t="s">
        <v>936</v>
      </c>
      <c r="C51" s="257" t="s">
        <v>419</v>
      </c>
      <c r="D51" s="258">
        <v>495</v>
      </c>
      <c r="E51" s="258">
        <f t="shared" si="0"/>
        <v>1096.9843500000002</v>
      </c>
      <c r="F51" s="257"/>
      <c r="G51" s="263">
        <v>42439</v>
      </c>
      <c r="H51" s="260">
        <f>+G51+30</f>
        <v>42469</v>
      </c>
      <c r="I51" s="261"/>
      <c r="J51" s="269"/>
    </row>
    <row r="52" spans="1:10" s="22" customFormat="1">
      <c r="B52" s="256" t="s">
        <v>921</v>
      </c>
      <c r="C52" s="257" t="s">
        <v>419</v>
      </c>
      <c r="D52" s="258">
        <v>8483.9699999999993</v>
      </c>
      <c r="E52" s="258">
        <f t="shared" si="0"/>
        <v>18801.580436100001</v>
      </c>
      <c r="F52" s="257"/>
      <c r="G52" s="263">
        <v>42410</v>
      </c>
      <c r="H52" s="260">
        <f>G52+60</f>
        <v>42470</v>
      </c>
      <c r="I52" s="261"/>
      <c r="J52" s="269"/>
    </row>
    <row r="53" spans="1:10" s="22" customFormat="1">
      <c r="B53" s="256" t="s">
        <v>922</v>
      </c>
      <c r="C53" s="257" t="s">
        <v>419</v>
      </c>
      <c r="D53" s="258">
        <v>9134.76</v>
      </c>
      <c r="E53" s="258">
        <f t="shared" si="0"/>
        <v>20243.815678800001</v>
      </c>
      <c r="F53" s="257"/>
      <c r="G53" s="263">
        <v>42411</v>
      </c>
      <c r="H53" s="260">
        <f>G53+60</f>
        <v>42471</v>
      </c>
      <c r="I53" s="261"/>
      <c r="J53" s="269"/>
    </row>
    <row r="54" spans="1:10" s="22" customFormat="1">
      <c r="B54" s="256" t="s">
        <v>920</v>
      </c>
      <c r="C54" s="257" t="s">
        <v>419</v>
      </c>
      <c r="D54" s="258">
        <v>23890.959999999999</v>
      </c>
      <c r="E54" s="258">
        <f t="shared" si="0"/>
        <v>52945.473184800001</v>
      </c>
      <c r="F54" s="257"/>
      <c r="G54" s="263">
        <v>42412</v>
      </c>
      <c r="H54" s="260">
        <f>G54+60</f>
        <v>42472</v>
      </c>
      <c r="I54" s="261"/>
      <c r="J54" s="269"/>
    </row>
    <row r="55" spans="1:10" s="22" customFormat="1">
      <c r="B55" s="256" t="s">
        <v>919</v>
      </c>
      <c r="C55" s="257" t="s">
        <v>419</v>
      </c>
      <c r="D55" s="258">
        <v>9399.7199999999993</v>
      </c>
      <c r="E55" s="258">
        <f t="shared" si="0"/>
        <v>20831.001483600001</v>
      </c>
      <c r="F55" s="257"/>
      <c r="G55" s="263">
        <v>42415</v>
      </c>
      <c r="H55" s="260">
        <f>G55+60</f>
        <v>42475</v>
      </c>
      <c r="I55" s="261"/>
      <c r="J55" s="269"/>
    </row>
    <row r="56" spans="1:10" s="22" customFormat="1">
      <c r="B56" s="256" t="s">
        <v>650</v>
      </c>
      <c r="C56" s="257" t="s">
        <v>419</v>
      </c>
      <c r="D56" s="258">
        <v>36326.46</v>
      </c>
      <c r="E56" s="258">
        <f t="shared" si="0"/>
        <v>80504.157799799999</v>
      </c>
      <c r="F56" s="257"/>
      <c r="G56" s="263">
        <v>42394</v>
      </c>
      <c r="H56" s="260">
        <f>G56+90</f>
        <v>42484</v>
      </c>
      <c r="I56" s="261"/>
      <c r="J56" s="269"/>
    </row>
    <row r="57" spans="1:10" s="22" customFormat="1">
      <c r="B57" s="256" t="s">
        <v>933</v>
      </c>
      <c r="C57" s="257" t="s">
        <v>419</v>
      </c>
      <c r="D57" s="258">
        <v>14460.95</v>
      </c>
      <c r="E57" s="258">
        <f t="shared" si="0"/>
        <v>32047.345123500003</v>
      </c>
      <c r="F57" s="257"/>
      <c r="G57" s="263">
        <v>42438</v>
      </c>
      <c r="H57" s="260">
        <f t="shared" ref="H57:H63" si="1">+G57+60</f>
        <v>42498</v>
      </c>
      <c r="I57" s="261"/>
      <c r="J57" s="269"/>
    </row>
    <row r="58" spans="1:10" s="22" customFormat="1">
      <c r="B58" s="256" t="s">
        <v>934</v>
      </c>
      <c r="C58" s="257" t="s">
        <v>419</v>
      </c>
      <c r="D58" s="258">
        <v>23236.86</v>
      </c>
      <c r="E58" s="258">
        <f t="shared" si="0"/>
        <v>51495.902551800005</v>
      </c>
      <c r="F58" s="257"/>
      <c r="G58" s="263">
        <v>42439</v>
      </c>
      <c r="H58" s="260">
        <f t="shared" si="1"/>
        <v>42499</v>
      </c>
      <c r="I58" s="261"/>
      <c r="J58" s="269"/>
    </row>
    <row r="59" spans="1:10" s="22" customFormat="1">
      <c r="B59" s="256" t="s">
        <v>935</v>
      </c>
      <c r="C59" s="257" t="s">
        <v>419</v>
      </c>
      <c r="D59" s="258">
        <v>12631.06</v>
      </c>
      <c r="E59" s="258">
        <f t="shared" si="0"/>
        <v>27992.070997800001</v>
      </c>
      <c r="F59" s="257"/>
      <c r="G59" s="263">
        <v>42440</v>
      </c>
      <c r="H59" s="260">
        <f t="shared" si="1"/>
        <v>42500</v>
      </c>
      <c r="I59" s="261"/>
      <c r="J59" s="269"/>
    </row>
    <row r="60" spans="1:10" s="22" customFormat="1">
      <c r="B60" s="256" t="s">
        <v>937</v>
      </c>
      <c r="C60" s="257" t="s">
        <v>419</v>
      </c>
      <c r="D60" s="258">
        <v>9839.64</v>
      </c>
      <c r="E60" s="258">
        <f t="shared" si="0"/>
        <v>21805.921393199998</v>
      </c>
      <c r="F60" s="257"/>
      <c r="G60" s="263">
        <v>42444</v>
      </c>
      <c r="H60" s="260">
        <f t="shared" si="1"/>
        <v>42504</v>
      </c>
      <c r="I60" s="261"/>
      <c r="J60" s="269"/>
    </row>
    <row r="61" spans="1:10" s="22" customFormat="1">
      <c r="B61" s="256" t="s">
        <v>938</v>
      </c>
      <c r="C61" s="257" t="s">
        <v>419</v>
      </c>
      <c r="D61" s="258">
        <v>16010.63</v>
      </c>
      <c r="E61" s="258">
        <f t="shared" si="0"/>
        <v>35481.637461899998</v>
      </c>
      <c r="F61" s="257"/>
      <c r="G61" s="263">
        <v>42447</v>
      </c>
      <c r="H61" s="260">
        <f t="shared" si="1"/>
        <v>42507</v>
      </c>
      <c r="I61" s="261"/>
      <c r="J61" s="269"/>
    </row>
    <row r="62" spans="1:10" s="22" customFormat="1">
      <c r="B62" s="256" t="s">
        <v>940</v>
      </c>
      <c r="C62" s="257" t="s">
        <v>419</v>
      </c>
      <c r="D62" s="258">
        <v>13793.58</v>
      </c>
      <c r="E62" s="258">
        <f t="shared" si="0"/>
        <v>30568.366445400003</v>
      </c>
      <c r="F62" s="257"/>
      <c r="G62" s="263">
        <v>42452</v>
      </c>
      <c r="H62" s="260">
        <f t="shared" si="1"/>
        <v>42512</v>
      </c>
      <c r="I62" s="261"/>
      <c r="J62" s="269"/>
    </row>
    <row r="63" spans="1:10" s="22" customFormat="1">
      <c r="B63" s="256" t="s">
        <v>946</v>
      </c>
      <c r="C63" s="257" t="s">
        <v>419</v>
      </c>
      <c r="D63" s="258">
        <v>8922.64</v>
      </c>
      <c r="E63" s="258">
        <f t="shared" si="0"/>
        <v>19773.730183200001</v>
      </c>
      <c r="F63" s="257"/>
      <c r="G63" s="263">
        <v>42460</v>
      </c>
      <c r="H63" s="260">
        <f t="shared" si="1"/>
        <v>42520</v>
      </c>
      <c r="I63" s="261"/>
      <c r="J63" s="269"/>
    </row>
    <row r="64" spans="1:10" s="22" customFormat="1">
      <c r="B64" s="256" t="s">
        <v>650</v>
      </c>
      <c r="C64" s="257" t="s">
        <v>419</v>
      </c>
      <c r="D64" s="258">
        <v>25051.18</v>
      </c>
      <c r="E64" s="258">
        <f t="shared" si="0"/>
        <v>55516.671533400004</v>
      </c>
      <c r="F64" s="257"/>
      <c r="G64" s="263">
        <v>42464</v>
      </c>
      <c r="H64" s="260">
        <f>+G64+90</f>
        <v>42554</v>
      </c>
      <c r="I64" s="261"/>
      <c r="J64" s="269"/>
    </row>
    <row r="65" spans="2:14" s="22" customFormat="1">
      <c r="B65" s="256" t="s">
        <v>948</v>
      </c>
      <c r="C65" s="257" t="s">
        <v>419</v>
      </c>
      <c r="D65" s="258">
        <v>1700</v>
      </c>
      <c r="E65" s="258">
        <f t="shared" si="0"/>
        <v>3767.4210000000003</v>
      </c>
      <c r="F65" s="257"/>
      <c r="G65" s="263">
        <v>42466</v>
      </c>
      <c r="H65" s="260">
        <f>+G65+30</f>
        <v>42496</v>
      </c>
      <c r="I65" s="261"/>
      <c r="J65" s="269"/>
    </row>
    <row r="66" spans="2:14" s="22" customFormat="1">
      <c r="B66" s="256" t="s">
        <v>949</v>
      </c>
      <c r="C66" s="257" t="s">
        <v>419</v>
      </c>
      <c r="D66" s="258">
        <v>9960.23</v>
      </c>
      <c r="E66" s="258">
        <f t="shared" si="0"/>
        <v>22073.164509900002</v>
      </c>
      <c r="F66" s="257"/>
      <c r="G66" s="263">
        <v>42453</v>
      </c>
      <c r="H66" s="260">
        <f>+G66+60</f>
        <v>42513</v>
      </c>
      <c r="I66" s="261"/>
      <c r="J66" s="269"/>
    </row>
    <row r="67" spans="2:14" s="22" customFormat="1">
      <c r="B67" s="256" t="s">
        <v>951</v>
      </c>
      <c r="C67" s="257" t="s">
        <v>419</v>
      </c>
      <c r="D67" s="258">
        <v>6231.58</v>
      </c>
      <c r="E67" s="258">
        <f t="shared" si="0"/>
        <v>13809.991385400001</v>
      </c>
      <c r="F67" s="257"/>
      <c r="G67" s="263">
        <v>42489</v>
      </c>
      <c r="H67" s="260">
        <f>+G67+60</f>
        <v>42549</v>
      </c>
      <c r="I67" s="261"/>
      <c r="J67" s="269"/>
    </row>
    <row r="68" spans="2:14" s="22" customFormat="1">
      <c r="B68" s="256"/>
      <c r="C68" s="257"/>
      <c r="D68" s="258"/>
      <c r="E68" s="258"/>
      <c r="F68" s="257"/>
      <c r="G68" s="263"/>
      <c r="H68" s="260"/>
      <c r="I68" s="261"/>
      <c r="J68" s="269"/>
    </row>
    <row r="69" spans="2:14" ht="12.75" thickBot="1">
      <c r="B69" s="28"/>
      <c r="C69" s="26"/>
      <c r="D69" s="27"/>
      <c r="E69" s="27"/>
      <c r="F69" s="26"/>
      <c r="G69" s="25"/>
      <c r="H69" s="24"/>
      <c r="I69" s="23"/>
      <c r="J69" s="270"/>
      <c r="N69" s="22"/>
    </row>
    <row r="70" spans="2:14">
      <c r="N70" s="22"/>
    </row>
    <row r="71" spans="2:14">
      <c r="B71" s="679" t="s">
        <v>646</v>
      </c>
      <c r="C71" s="679"/>
      <c r="D71" s="265">
        <f>SUM(D28:D56)</f>
        <v>399830.86999999994</v>
      </c>
      <c r="E71" s="265">
        <f>SUM(E28:E56)</f>
        <v>886077.18593310029</v>
      </c>
    </row>
    <row r="72" spans="2:14">
      <c r="B72" s="21"/>
      <c r="C72" s="20"/>
      <c r="D72" s="271"/>
      <c r="E72" s="271"/>
    </row>
    <row r="73" spans="2:14">
      <c r="B73" s="679" t="s">
        <v>652</v>
      </c>
      <c r="C73" s="679"/>
      <c r="D73" s="265">
        <v>0</v>
      </c>
      <c r="E73" s="265">
        <v>0</v>
      </c>
    </row>
    <row r="74" spans="2:14">
      <c r="B74" s="21"/>
      <c r="C74" s="20"/>
      <c r="D74" s="271"/>
      <c r="E74" s="271"/>
    </row>
    <row r="75" spans="2:14">
      <c r="B75" s="679" t="s">
        <v>647</v>
      </c>
      <c r="C75" s="679"/>
      <c r="D75" s="265">
        <v>0</v>
      </c>
      <c r="E75" s="265">
        <v>0</v>
      </c>
    </row>
    <row r="76" spans="2:14" s="19" customFormat="1">
      <c r="B76" s="272"/>
      <c r="C76" s="272"/>
    </row>
    <row r="79" spans="2:14">
      <c r="H79" s="18" t="s">
        <v>418</v>
      </c>
    </row>
  </sheetData>
  <sortState ref="B7:J19">
    <sortCondition ref="H7:H19"/>
  </sortState>
  <mergeCells count="8">
    <mergeCell ref="B26:J26"/>
    <mergeCell ref="B71:C71"/>
    <mergeCell ref="B73:C73"/>
    <mergeCell ref="B75:C75"/>
    <mergeCell ref="B5:J5"/>
    <mergeCell ref="B20:C20"/>
    <mergeCell ref="B22:C22"/>
    <mergeCell ref="B24:C24"/>
  </mergeCells>
  <pageMargins left="0" right="0" top="0" bottom="0" header="0" footer="0"/>
  <pageSetup paperSize="9" scale="99" orientation="portrait" horizontalDpi="180" verticalDpi="180" r:id="rId1"/>
  <ignoredErrors>
    <ignoredError sqref="E29 H30:H51 E7:E10 H10:H14" formula="1"/>
    <ignoredError sqref="D21:E21 D23:E23 D22 D20:E20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49"/>
  <sheetViews>
    <sheetView workbookViewId="0">
      <selection activeCell="B7" sqref="B7"/>
    </sheetView>
  </sheetViews>
  <sheetFormatPr baseColWidth="10" defaultColWidth="11.42578125" defaultRowHeight="14.25"/>
  <cols>
    <col min="1" max="1" width="11.42578125" style="37"/>
    <col min="2" max="2" width="16.28515625" style="37" bestFit="1" customWidth="1"/>
    <col min="3" max="3" width="12.140625" style="37" bestFit="1" customWidth="1"/>
    <col min="4" max="4" width="11.140625" style="39" bestFit="1" customWidth="1"/>
    <col min="5" max="5" width="9.42578125" style="39" bestFit="1" customWidth="1"/>
    <col min="6" max="6" width="11.140625" style="39" bestFit="1" customWidth="1"/>
    <col min="7" max="8" width="21.140625" style="38" customWidth="1"/>
    <col min="9" max="9" width="16.140625" style="38" bestFit="1" customWidth="1"/>
    <col min="10" max="12" width="14" style="37" bestFit="1" customWidth="1"/>
    <col min="13" max="13" width="7.28515625" style="37" bestFit="1" customWidth="1"/>
    <col min="14" max="14" width="11.85546875" style="37" bestFit="1" customWidth="1"/>
    <col min="15" max="15" width="9.140625" style="37" bestFit="1" customWidth="1"/>
    <col min="16" max="16" width="7.7109375" style="37" bestFit="1" customWidth="1"/>
    <col min="17" max="17" width="6.42578125" style="37" bestFit="1" customWidth="1"/>
    <col min="18" max="16384" width="11.42578125" style="37"/>
  </cols>
  <sheetData>
    <row r="1" spans="2:9">
      <c r="B1" s="689" t="s">
        <v>455</v>
      </c>
      <c r="C1" s="689"/>
      <c r="D1" s="689"/>
      <c r="E1" s="689"/>
      <c r="F1" s="689"/>
    </row>
    <row r="2" spans="2:9">
      <c r="B2" s="689" t="s">
        <v>741</v>
      </c>
      <c r="C2" s="689"/>
      <c r="D2" s="689"/>
      <c r="E2" s="689"/>
      <c r="F2" s="689"/>
    </row>
    <row r="3" spans="2:9" ht="15" thickBot="1">
      <c r="B3" s="82"/>
      <c r="C3" s="82"/>
      <c r="D3" s="81"/>
      <c r="E3" s="81"/>
      <c r="F3" s="81"/>
    </row>
    <row r="4" spans="2:9" s="60" customFormat="1" ht="15" thickBot="1">
      <c r="B4" s="80" t="s">
        <v>451</v>
      </c>
      <c r="C4" s="79" t="s">
        <v>450</v>
      </c>
      <c r="D4" s="78" t="s">
        <v>449</v>
      </c>
      <c r="E4" s="78" t="s">
        <v>448</v>
      </c>
      <c r="F4" s="77" t="s">
        <v>447</v>
      </c>
      <c r="G4" s="76" t="s">
        <v>446</v>
      </c>
      <c r="H4" s="75" t="s">
        <v>445</v>
      </c>
      <c r="I4" s="61"/>
    </row>
    <row r="5" spans="2:9" s="56" customFormat="1" ht="15" thickBot="1">
      <c r="B5" s="74" t="s">
        <v>454</v>
      </c>
      <c r="C5" s="73">
        <v>42551</v>
      </c>
      <c r="D5" s="72">
        <v>6228.5709999999999</v>
      </c>
      <c r="E5" s="72">
        <v>823</v>
      </c>
      <c r="F5" s="71">
        <f>SUM(D5:E5)</f>
        <v>7051.5709999999999</v>
      </c>
      <c r="G5" s="356"/>
      <c r="H5" s="357"/>
      <c r="I5" s="57"/>
    </row>
    <row r="6" spans="2:9" s="56" customFormat="1" ht="15" thickBot="1">
      <c r="B6" s="681" t="s">
        <v>742</v>
      </c>
      <c r="C6" s="682"/>
      <c r="D6" s="43">
        <f>SUM(D5)</f>
        <v>6228.5709999999999</v>
      </c>
      <c r="E6" s="43">
        <f>SUM(E5)</f>
        <v>823</v>
      </c>
      <c r="F6" s="59">
        <f>SUM(F5:F5)</f>
        <v>7051.5709999999999</v>
      </c>
      <c r="G6" s="690"/>
      <c r="H6" s="690"/>
      <c r="I6" s="57"/>
    </row>
    <row r="7" spans="2:9" s="56" customFormat="1" ht="15" thickBot="1">
      <c r="B7" s="74" t="s">
        <v>454</v>
      </c>
      <c r="C7" s="73">
        <v>42735</v>
      </c>
      <c r="D7" s="72">
        <v>6228.5709999999999</v>
      </c>
      <c r="E7" s="72">
        <v>617</v>
      </c>
      <c r="F7" s="71">
        <f>SUM(D7:E7)</f>
        <v>6845.5709999999999</v>
      </c>
      <c r="G7" s="70"/>
      <c r="H7" s="69"/>
      <c r="I7" s="57"/>
    </row>
    <row r="8" spans="2:9" s="56" customFormat="1" ht="15" thickBot="1">
      <c r="B8" s="681" t="s">
        <v>743</v>
      </c>
      <c r="C8" s="682"/>
      <c r="D8" s="43">
        <f>SUM(D7)</f>
        <v>6228.5709999999999</v>
      </c>
      <c r="E8" s="43">
        <f>SUM(E7)</f>
        <v>617</v>
      </c>
      <c r="F8" s="59">
        <f>SUM(F7:F7)</f>
        <v>6845.5709999999999</v>
      </c>
      <c r="G8" s="691"/>
      <c r="H8" s="692"/>
      <c r="I8" s="57"/>
    </row>
    <row r="9" spans="2:9" ht="15" thickBot="1">
      <c r="B9" s="68"/>
      <c r="C9" s="68"/>
      <c r="D9" s="67"/>
      <c r="E9" s="67"/>
      <c r="F9" s="67"/>
    </row>
    <row r="10" spans="2:9" ht="15.75" customHeight="1" thickBot="1">
      <c r="B10" s="685" t="s">
        <v>753</v>
      </c>
      <c r="C10" s="686"/>
      <c r="D10" s="41">
        <f>D8+D6</f>
        <v>12457.142</v>
      </c>
      <c r="E10" s="41">
        <f>E8+E6</f>
        <v>1440</v>
      </c>
      <c r="F10" s="40">
        <f>F8+F6</f>
        <v>13897.142</v>
      </c>
      <c r="G10" s="37"/>
      <c r="H10" s="37"/>
      <c r="I10" s="37"/>
    </row>
    <row r="11" spans="2:9" ht="15.75" customHeight="1">
      <c r="G11" s="37"/>
      <c r="H11" s="37"/>
      <c r="I11" s="37"/>
    </row>
    <row r="12" spans="2:9">
      <c r="B12" s="689" t="s">
        <v>452</v>
      </c>
      <c r="C12" s="689"/>
      <c r="D12" s="689"/>
      <c r="E12" s="689"/>
      <c r="F12" s="689"/>
    </row>
    <row r="13" spans="2:9">
      <c r="B13" s="689" t="s">
        <v>741</v>
      </c>
      <c r="C13" s="689"/>
      <c r="D13" s="689"/>
      <c r="E13" s="689"/>
      <c r="F13" s="689"/>
    </row>
    <row r="14" spans="2:9" ht="15" thickBot="1"/>
    <row r="15" spans="2:9" s="60" customFormat="1" ht="15" thickBot="1">
      <c r="B15" s="66" t="s">
        <v>451</v>
      </c>
      <c r="C15" s="65" t="s">
        <v>450</v>
      </c>
      <c r="D15" s="64" t="s">
        <v>449</v>
      </c>
      <c r="E15" s="64" t="s">
        <v>448</v>
      </c>
      <c r="F15" s="64" t="s">
        <v>447</v>
      </c>
      <c r="G15" s="63" t="s">
        <v>446</v>
      </c>
      <c r="H15" s="62" t="s">
        <v>445</v>
      </c>
      <c r="I15" s="61"/>
    </row>
    <row r="16" spans="2:9" ht="15" thickBot="1">
      <c r="B16" s="362" t="s">
        <v>438</v>
      </c>
      <c r="C16" s="363">
        <v>42369</v>
      </c>
      <c r="D16" s="364">
        <v>71428.570999999996</v>
      </c>
      <c r="E16" s="364">
        <v>7677.6189999999997</v>
      </c>
      <c r="F16" s="365">
        <f t="shared" ref="F16" si="0">SUM(D16:E16)</f>
        <v>79106.19</v>
      </c>
      <c r="G16" s="366"/>
      <c r="H16" s="367"/>
      <c r="I16" s="37"/>
    </row>
    <row r="17" spans="2:16" ht="15" thickBot="1">
      <c r="B17" s="681" t="s">
        <v>437</v>
      </c>
      <c r="C17" s="682"/>
      <c r="D17" s="43">
        <f>SUM(D16:D16)</f>
        <v>71428.570999999996</v>
      </c>
      <c r="E17" s="43">
        <f>SUM(E16:E16)</f>
        <v>7677.6189999999997</v>
      </c>
      <c r="F17" s="59">
        <f>SUM(F16:F16)</f>
        <v>79106.19</v>
      </c>
      <c r="G17" s="687"/>
      <c r="H17" s="688"/>
      <c r="M17" s="56"/>
    </row>
    <row r="18" spans="2:16" s="56" customFormat="1">
      <c r="B18" s="386" t="s">
        <v>444</v>
      </c>
      <c r="C18" s="387">
        <v>42030</v>
      </c>
      <c r="D18" s="388">
        <v>172714.28599999999</v>
      </c>
      <c r="E18" s="388">
        <v>33986</v>
      </c>
      <c r="F18" s="389">
        <f t="shared" ref="F18:F47" si="1">SUM(D18:E18)</f>
        <v>206700.28599999999</v>
      </c>
      <c r="G18" s="390"/>
      <c r="H18" s="391"/>
      <c r="I18" s="57"/>
      <c r="O18" s="37"/>
      <c r="P18" s="37"/>
    </row>
    <row r="19" spans="2:16" s="56" customFormat="1" ht="15" thickBot="1">
      <c r="B19" s="362" t="s">
        <v>443</v>
      </c>
      <c r="C19" s="363">
        <v>42030</v>
      </c>
      <c r="D19" s="364">
        <v>106286</v>
      </c>
      <c r="E19" s="364">
        <v>21865</v>
      </c>
      <c r="F19" s="365">
        <f t="shared" si="1"/>
        <v>128151</v>
      </c>
      <c r="G19" s="392"/>
      <c r="H19" s="393"/>
      <c r="I19" s="57"/>
      <c r="K19" s="37"/>
      <c r="L19" s="37"/>
      <c r="M19" s="37"/>
    </row>
    <row r="20" spans="2:16" ht="15" thickBot="1">
      <c r="B20" s="681" t="s">
        <v>744</v>
      </c>
      <c r="C20" s="682"/>
      <c r="D20" s="43">
        <f>SUM(D18:D19)</f>
        <v>279000.28599999996</v>
      </c>
      <c r="E20" s="43">
        <f>SUM(E18:E19)</f>
        <v>55851</v>
      </c>
      <c r="F20" s="42">
        <f t="shared" si="1"/>
        <v>334851.28599999996</v>
      </c>
      <c r="G20" s="683"/>
      <c r="H20" s="684"/>
      <c r="O20" s="56"/>
      <c r="P20" s="56"/>
    </row>
    <row r="21" spans="2:16" s="56" customFormat="1">
      <c r="B21" s="55" t="s">
        <v>442</v>
      </c>
      <c r="C21" s="54">
        <v>42060</v>
      </c>
      <c r="D21" s="53">
        <v>28571</v>
      </c>
      <c r="E21" s="53">
        <v>3885</v>
      </c>
      <c r="F21" s="52">
        <f t="shared" si="1"/>
        <v>32456</v>
      </c>
      <c r="G21" s="346"/>
      <c r="H21" s="347"/>
      <c r="I21" s="57"/>
      <c r="K21" s="37"/>
      <c r="L21" s="37"/>
      <c r="M21" s="37"/>
    </row>
    <row r="22" spans="2:16" s="56" customFormat="1">
      <c r="B22" s="350" t="s">
        <v>441</v>
      </c>
      <c r="C22" s="351">
        <v>42063</v>
      </c>
      <c r="D22" s="352">
        <v>0</v>
      </c>
      <c r="E22" s="352">
        <v>1325</v>
      </c>
      <c r="F22" s="353">
        <f t="shared" si="1"/>
        <v>1325</v>
      </c>
      <c r="G22" s="354"/>
      <c r="H22" s="355"/>
      <c r="I22" s="57"/>
      <c r="K22" s="37"/>
      <c r="L22" s="37"/>
      <c r="M22" s="37"/>
      <c r="O22" s="37"/>
      <c r="P22" s="37"/>
    </row>
    <row r="23" spans="2:16" s="56" customFormat="1" ht="15" thickBot="1">
      <c r="B23" s="49" t="s">
        <v>440</v>
      </c>
      <c r="C23" s="48">
        <v>42063</v>
      </c>
      <c r="D23" s="47">
        <v>0</v>
      </c>
      <c r="E23" s="47">
        <v>329</v>
      </c>
      <c r="F23" s="46">
        <f t="shared" si="1"/>
        <v>329</v>
      </c>
      <c r="G23" s="348"/>
      <c r="H23" s="349"/>
      <c r="I23" s="57"/>
      <c r="K23" s="37"/>
      <c r="L23" s="37"/>
      <c r="M23" s="37"/>
    </row>
    <row r="24" spans="2:16" ht="15" thickBot="1">
      <c r="B24" s="681" t="s">
        <v>745</v>
      </c>
      <c r="C24" s="682"/>
      <c r="D24" s="43">
        <f>SUM(D21:D23)</f>
        <v>28571</v>
      </c>
      <c r="E24" s="43">
        <f>SUM(E21:E23)</f>
        <v>5539</v>
      </c>
      <c r="F24" s="42">
        <f t="shared" si="1"/>
        <v>34110</v>
      </c>
      <c r="G24" s="683"/>
      <c r="H24" s="684"/>
      <c r="O24" s="56"/>
      <c r="P24" s="56"/>
    </row>
    <row r="25" spans="2:16" s="56" customFormat="1">
      <c r="B25" s="55" t="s">
        <v>439</v>
      </c>
      <c r="C25" s="54">
        <v>42094</v>
      </c>
      <c r="D25" s="53">
        <v>10714</v>
      </c>
      <c r="E25" s="53">
        <v>1465</v>
      </c>
      <c r="F25" s="52">
        <f t="shared" si="1"/>
        <v>12179</v>
      </c>
      <c r="G25" s="346"/>
      <c r="H25" s="347"/>
      <c r="I25" s="57"/>
      <c r="K25" s="37"/>
      <c r="L25" s="37"/>
      <c r="M25" s="37"/>
      <c r="O25" s="37"/>
      <c r="P25" s="37"/>
    </row>
    <row r="26" spans="2:16" s="56" customFormat="1" ht="15" thickBot="1">
      <c r="B26" s="49" t="s">
        <v>438</v>
      </c>
      <c r="C26" s="48">
        <v>42094</v>
      </c>
      <c r="D26" s="47">
        <v>0</v>
      </c>
      <c r="E26" s="47">
        <v>6328</v>
      </c>
      <c r="F26" s="46">
        <f t="shared" si="1"/>
        <v>6328</v>
      </c>
      <c r="G26" s="348"/>
      <c r="H26" s="349"/>
      <c r="I26" s="57"/>
      <c r="K26" s="37"/>
      <c r="L26" s="37"/>
      <c r="M26" s="37"/>
    </row>
    <row r="27" spans="2:16" ht="15" thickBot="1">
      <c r="B27" s="681" t="s">
        <v>746</v>
      </c>
      <c r="C27" s="682"/>
      <c r="D27" s="43">
        <f>SUM(D25:D26)</f>
        <v>10714</v>
      </c>
      <c r="E27" s="43">
        <f>SUM(E25:E26)</f>
        <v>7793</v>
      </c>
      <c r="F27" s="42">
        <f t="shared" si="1"/>
        <v>18507</v>
      </c>
      <c r="G27" s="683"/>
      <c r="H27" s="684"/>
      <c r="J27" s="58"/>
      <c r="O27" s="56"/>
      <c r="P27" s="56"/>
    </row>
    <row r="28" spans="2:16" s="56" customFormat="1">
      <c r="B28" s="55" t="s">
        <v>442</v>
      </c>
      <c r="C28" s="54">
        <v>42149</v>
      </c>
      <c r="D28" s="53">
        <v>28571</v>
      </c>
      <c r="E28" s="53">
        <v>3330</v>
      </c>
      <c r="F28" s="52">
        <f t="shared" si="1"/>
        <v>31901</v>
      </c>
      <c r="G28" s="346"/>
      <c r="H28" s="347"/>
      <c r="I28" s="57"/>
      <c r="J28" s="58"/>
      <c r="K28" s="37"/>
      <c r="L28" s="37"/>
      <c r="M28" s="37"/>
      <c r="O28" s="37"/>
      <c r="P28" s="37"/>
    </row>
    <row r="29" spans="2:16" s="56" customFormat="1">
      <c r="B29" s="350" t="s">
        <v>441</v>
      </c>
      <c r="C29" s="351">
        <v>42155</v>
      </c>
      <c r="D29" s="352">
        <v>80000</v>
      </c>
      <c r="E29" s="352">
        <v>1339</v>
      </c>
      <c r="F29" s="353">
        <f t="shared" si="1"/>
        <v>81339</v>
      </c>
      <c r="G29" s="354"/>
      <c r="H29" s="355"/>
      <c r="I29" s="57"/>
      <c r="J29" s="58"/>
      <c r="K29" s="37"/>
      <c r="L29" s="37"/>
      <c r="M29" s="37"/>
    </row>
    <row r="30" spans="2:16" s="56" customFormat="1" ht="15" thickBot="1">
      <c r="B30" s="49" t="s">
        <v>440</v>
      </c>
      <c r="C30" s="48">
        <v>42155</v>
      </c>
      <c r="D30" s="47">
        <v>20000</v>
      </c>
      <c r="E30" s="47">
        <v>332</v>
      </c>
      <c r="F30" s="46">
        <f t="shared" si="1"/>
        <v>20332</v>
      </c>
      <c r="G30" s="348"/>
      <c r="H30" s="349"/>
      <c r="I30" s="57"/>
      <c r="J30" s="58"/>
      <c r="K30" s="37"/>
      <c r="L30" s="37"/>
      <c r="M30" s="37"/>
    </row>
    <row r="31" spans="2:16" ht="15" thickBot="1">
      <c r="B31" s="681" t="s">
        <v>747</v>
      </c>
      <c r="C31" s="682"/>
      <c r="D31" s="43">
        <f>SUM(D28:D30)</f>
        <v>128571</v>
      </c>
      <c r="E31" s="43">
        <f>SUM(E28:E30)</f>
        <v>5001</v>
      </c>
      <c r="F31" s="42">
        <f t="shared" si="1"/>
        <v>133572</v>
      </c>
      <c r="G31" s="683"/>
      <c r="H31" s="684"/>
      <c r="J31" s="58"/>
      <c r="O31" s="56"/>
      <c r="P31" s="56"/>
    </row>
    <row r="32" spans="2:16" s="56" customFormat="1">
      <c r="B32" s="55" t="s">
        <v>439</v>
      </c>
      <c r="C32" s="54">
        <v>42185</v>
      </c>
      <c r="D32" s="53">
        <v>10714</v>
      </c>
      <c r="E32" s="53">
        <v>1282</v>
      </c>
      <c r="F32" s="52">
        <f t="shared" si="1"/>
        <v>11996</v>
      </c>
      <c r="G32" s="346"/>
      <c r="H32" s="347"/>
      <c r="I32" s="57"/>
      <c r="J32" s="58"/>
      <c r="K32" s="664"/>
      <c r="L32" s="37"/>
      <c r="M32" s="37"/>
      <c r="N32" s="37"/>
      <c r="O32" s="37"/>
      <c r="P32" s="37"/>
    </row>
    <row r="33" spans="2:16" s="56" customFormat="1" ht="15" thickBot="1">
      <c r="B33" s="49" t="s">
        <v>438</v>
      </c>
      <c r="C33" s="48">
        <v>42185</v>
      </c>
      <c r="D33" s="47">
        <v>71429</v>
      </c>
      <c r="E33" s="47">
        <v>6328</v>
      </c>
      <c r="F33" s="46">
        <f t="shared" si="1"/>
        <v>77757</v>
      </c>
      <c r="G33" s="348"/>
      <c r="H33" s="349"/>
      <c r="I33" s="57"/>
      <c r="J33" s="58"/>
      <c r="K33" s="37"/>
      <c r="L33" s="37"/>
      <c r="M33" s="37"/>
      <c r="N33" s="37"/>
    </row>
    <row r="34" spans="2:16" ht="15" thickBot="1">
      <c r="B34" s="681" t="s">
        <v>742</v>
      </c>
      <c r="C34" s="682"/>
      <c r="D34" s="43">
        <f>SUM(D32:D33)</f>
        <v>82143</v>
      </c>
      <c r="E34" s="43">
        <f>SUM(E32:E33)</f>
        <v>7610</v>
      </c>
      <c r="F34" s="42">
        <f t="shared" si="1"/>
        <v>89753</v>
      </c>
      <c r="G34" s="683"/>
      <c r="H34" s="684"/>
      <c r="J34" s="58"/>
      <c r="O34" s="56"/>
      <c r="P34" s="56"/>
    </row>
    <row r="35" spans="2:16" s="56" customFormat="1">
      <c r="B35" s="55" t="s">
        <v>444</v>
      </c>
      <c r="C35" s="54">
        <v>42211</v>
      </c>
      <c r="D35" s="53">
        <v>172714</v>
      </c>
      <c r="E35" s="53">
        <v>28815</v>
      </c>
      <c r="F35" s="52">
        <f t="shared" si="1"/>
        <v>201529</v>
      </c>
      <c r="G35" s="346"/>
      <c r="H35" s="347"/>
      <c r="I35" s="57"/>
      <c r="J35" s="58"/>
      <c r="K35" s="37"/>
      <c r="L35" s="37"/>
      <c r="M35" s="37"/>
      <c r="N35" s="37"/>
      <c r="O35" s="37"/>
      <c r="P35" s="37"/>
    </row>
    <row r="36" spans="2:16" s="56" customFormat="1" ht="15" thickBot="1">
      <c r="B36" s="49" t="s">
        <v>443</v>
      </c>
      <c r="C36" s="48">
        <v>42211</v>
      </c>
      <c r="D36" s="47">
        <v>106286</v>
      </c>
      <c r="E36" s="47">
        <v>18538</v>
      </c>
      <c r="F36" s="46">
        <f t="shared" si="1"/>
        <v>124824</v>
      </c>
      <c r="G36" s="348"/>
      <c r="H36" s="349"/>
      <c r="I36" s="57"/>
      <c r="J36" s="37"/>
      <c r="K36" s="37"/>
      <c r="L36" s="37"/>
      <c r="M36" s="37"/>
      <c r="N36" s="37"/>
    </row>
    <row r="37" spans="2:16" ht="15" thickBot="1">
      <c r="B37" s="681" t="s">
        <v>748</v>
      </c>
      <c r="C37" s="682"/>
      <c r="D37" s="43">
        <f>SUM(D35:D36)</f>
        <v>279000</v>
      </c>
      <c r="E37" s="43">
        <f>SUM(E35:E36)</f>
        <v>47353</v>
      </c>
      <c r="F37" s="42">
        <f t="shared" si="1"/>
        <v>326353</v>
      </c>
      <c r="G37" s="683"/>
      <c r="H37" s="684"/>
      <c r="O37" s="56"/>
      <c r="P37" s="56"/>
    </row>
    <row r="38" spans="2:16" s="56" customFormat="1" ht="15" thickBot="1">
      <c r="B38" s="55" t="s">
        <v>442</v>
      </c>
      <c r="C38" s="54">
        <v>42241</v>
      </c>
      <c r="D38" s="53">
        <v>28571</v>
      </c>
      <c r="E38" s="53">
        <v>2775</v>
      </c>
      <c r="F38" s="52">
        <f t="shared" si="1"/>
        <v>31346</v>
      </c>
      <c r="G38" s="346"/>
      <c r="H38" s="347"/>
      <c r="I38" s="57"/>
      <c r="J38" s="37"/>
      <c r="K38" s="37"/>
      <c r="L38" s="37"/>
      <c r="M38" s="37"/>
      <c r="N38" s="37"/>
    </row>
    <row r="39" spans="2:16" ht="15" thickBot="1">
      <c r="B39" s="681" t="s">
        <v>749</v>
      </c>
      <c r="C39" s="682"/>
      <c r="D39" s="43">
        <f>SUM(D38:D38)</f>
        <v>28571</v>
      </c>
      <c r="E39" s="43">
        <f>SUM(E38:E38)</f>
        <v>2775</v>
      </c>
      <c r="F39" s="42">
        <f t="shared" si="1"/>
        <v>31346</v>
      </c>
      <c r="G39" s="683"/>
      <c r="H39" s="684"/>
    </row>
    <row r="40" spans="2:16" s="56" customFormat="1">
      <c r="B40" s="55" t="s">
        <v>439</v>
      </c>
      <c r="C40" s="54">
        <v>42277</v>
      </c>
      <c r="D40" s="53">
        <v>10714</v>
      </c>
      <c r="E40" s="53">
        <v>1111</v>
      </c>
      <c r="F40" s="52">
        <f t="shared" si="1"/>
        <v>11825</v>
      </c>
      <c r="G40" s="346"/>
      <c r="H40" s="347"/>
      <c r="I40" s="57"/>
      <c r="J40" s="37"/>
      <c r="K40" s="37"/>
      <c r="L40" s="37"/>
      <c r="M40" s="37"/>
      <c r="N40" s="37"/>
      <c r="O40" s="37"/>
      <c r="P40" s="37"/>
    </row>
    <row r="41" spans="2:16" s="56" customFormat="1" ht="15" thickBot="1">
      <c r="B41" s="49" t="s">
        <v>438</v>
      </c>
      <c r="C41" s="48">
        <v>42277</v>
      </c>
      <c r="D41" s="47">
        <v>0</v>
      </c>
      <c r="E41" s="47">
        <v>5118</v>
      </c>
      <c r="F41" s="46">
        <f t="shared" si="1"/>
        <v>5118</v>
      </c>
      <c r="G41" s="348"/>
      <c r="H41" s="349"/>
      <c r="I41" s="57"/>
      <c r="J41" s="37"/>
      <c r="K41" s="37"/>
      <c r="L41" s="37"/>
      <c r="M41" s="37"/>
      <c r="N41" s="37"/>
      <c r="O41" s="37"/>
      <c r="P41" s="37"/>
    </row>
    <row r="42" spans="2:16" ht="15" thickBot="1">
      <c r="B42" s="681" t="s">
        <v>750</v>
      </c>
      <c r="C42" s="682"/>
      <c r="D42" s="43">
        <f>SUM(D40:D41)</f>
        <v>10714</v>
      </c>
      <c r="E42" s="43">
        <f>SUM(E40:E41)</f>
        <v>6229</v>
      </c>
      <c r="F42" s="42">
        <f t="shared" si="1"/>
        <v>16943</v>
      </c>
      <c r="G42" s="683"/>
      <c r="H42" s="684"/>
    </row>
    <row r="43" spans="2:16" s="56" customFormat="1" ht="15" thickBot="1">
      <c r="B43" s="55" t="s">
        <v>442</v>
      </c>
      <c r="C43" s="54">
        <v>42333</v>
      </c>
      <c r="D43" s="53">
        <v>28571</v>
      </c>
      <c r="E43" s="53">
        <v>2220</v>
      </c>
      <c r="F43" s="52">
        <f t="shared" si="1"/>
        <v>30791</v>
      </c>
      <c r="G43" s="346"/>
      <c r="H43" s="347"/>
      <c r="I43" s="57"/>
      <c r="J43" s="37"/>
      <c r="K43" s="37"/>
      <c r="L43" s="37"/>
      <c r="M43" s="37"/>
      <c r="N43" s="37"/>
      <c r="O43" s="37"/>
      <c r="P43" s="37"/>
    </row>
    <row r="44" spans="2:16" ht="15" thickBot="1">
      <c r="B44" s="681" t="s">
        <v>751</v>
      </c>
      <c r="C44" s="682"/>
      <c r="D44" s="43">
        <f>SUM(D43:D43)</f>
        <v>28571</v>
      </c>
      <c r="E44" s="43">
        <f>SUM(E43:E43)</f>
        <v>2220</v>
      </c>
      <c r="F44" s="42">
        <f t="shared" si="1"/>
        <v>30791</v>
      </c>
      <c r="G44" s="683"/>
      <c r="H44" s="684"/>
      <c r="I44" s="37"/>
    </row>
    <row r="45" spans="2:16">
      <c r="B45" s="55" t="s">
        <v>439</v>
      </c>
      <c r="C45" s="54">
        <v>42369</v>
      </c>
      <c r="D45" s="53">
        <v>10714</v>
      </c>
      <c r="E45" s="53">
        <v>926</v>
      </c>
      <c r="F45" s="52">
        <f t="shared" si="1"/>
        <v>11640</v>
      </c>
      <c r="G45" s="51"/>
      <c r="H45" s="50"/>
      <c r="I45" s="37"/>
    </row>
    <row r="46" spans="2:16" ht="15" thickBot="1">
      <c r="B46" s="49" t="s">
        <v>438</v>
      </c>
      <c r="C46" s="48">
        <v>42369</v>
      </c>
      <c r="D46" s="47">
        <v>71429</v>
      </c>
      <c r="E46" s="47">
        <v>5118</v>
      </c>
      <c r="F46" s="46">
        <f t="shared" si="1"/>
        <v>76547</v>
      </c>
      <c r="G46" s="45"/>
      <c r="H46" s="44"/>
      <c r="I46" s="37"/>
    </row>
    <row r="47" spans="2:16" ht="15" thickBot="1">
      <c r="B47" s="681" t="s">
        <v>752</v>
      </c>
      <c r="C47" s="682"/>
      <c r="D47" s="43">
        <f>SUM(D45:D46)</f>
        <v>82143</v>
      </c>
      <c r="E47" s="43">
        <f>SUM(E45:E46)</f>
        <v>6044</v>
      </c>
      <c r="F47" s="42">
        <f t="shared" si="1"/>
        <v>88187</v>
      </c>
      <c r="G47" s="687"/>
      <c r="H47" s="688"/>
      <c r="I47" s="37"/>
    </row>
    <row r="48" spans="2:16" ht="15" thickBot="1">
      <c r="I48" s="37"/>
    </row>
    <row r="49" spans="2:9" ht="15" thickBot="1">
      <c r="B49" s="685" t="s">
        <v>753</v>
      </c>
      <c r="C49" s="686"/>
      <c r="D49" s="41">
        <f>+D47+D44+D42+D39+D37+D34+D31+D27+D24+D20</f>
        <v>957998.28599999996</v>
      </c>
      <c r="E49" s="41">
        <f>+E47+E44+E42+E39+E37+E34+E31+E27+E24+E20</f>
        <v>146415</v>
      </c>
      <c r="F49" s="40">
        <f>+F47+F44+F42+F39+F37+F34+F31+F27+F24+F20</f>
        <v>1104413.2859999998</v>
      </c>
      <c r="I49" s="37"/>
    </row>
  </sheetData>
  <mergeCells count="32">
    <mergeCell ref="B1:F1"/>
    <mergeCell ref="B2:F2"/>
    <mergeCell ref="B6:C6"/>
    <mergeCell ref="G6:H6"/>
    <mergeCell ref="B8:C8"/>
    <mergeCell ref="G8:H8"/>
    <mergeCell ref="B27:C27"/>
    <mergeCell ref="G27:H27"/>
    <mergeCell ref="B17:C17"/>
    <mergeCell ref="G17:H17"/>
    <mergeCell ref="B20:C20"/>
    <mergeCell ref="G20:H20"/>
    <mergeCell ref="B10:C10"/>
    <mergeCell ref="B12:F12"/>
    <mergeCell ref="B13:F13"/>
    <mergeCell ref="B24:C24"/>
    <mergeCell ref="G24:H24"/>
    <mergeCell ref="B31:C31"/>
    <mergeCell ref="G31:H31"/>
    <mergeCell ref="B34:C34"/>
    <mergeCell ref="G34:H34"/>
    <mergeCell ref="B37:C37"/>
    <mergeCell ref="G37:H37"/>
    <mergeCell ref="B39:C39"/>
    <mergeCell ref="G39:H39"/>
    <mergeCell ref="B49:C49"/>
    <mergeCell ref="B42:C42"/>
    <mergeCell ref="G42:H42"/>
    <mergeCell ref="B44:C44"/>
    <mergeCell ref="G44:H44"/>
    <mergeCell ref="B47:C47"/>
    <mergeCell ref="G47:H47"/>
  </mergeCells>
  <pageMargins left="0.70866141732283472" right="0.70866141732283472" top="0.31496062992125984" bottom="0.74803149606299213" header="0.31496062992125984" footer="0.31496062992125984"/>
  <pageSetup paperSize="9" scale="85" orientation="portrait" horizontalDpi="180" verticalDpi="180" r:id="rId1"/>
  <ignoredErrors>
    <ignoredError sqref="F16 F20:F38 F39:F43 F44:F47" formulaRange="1"/>
    <ignoredError sqref="F17:F19" formula="1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9"/>
  <sheetViews>
    <sheetView workbookViewId="0">
      <selection activeCell="P20" sqref="P20"/>
    </sheetView>
  </sheetViews>
  <sheetFormatPr baseColWidth="10" defaultRowHeight="12.75"/>
  <cols>
    <col min="1" max="1" width="14.42578125" style="165" bestFit="1" customWidth="1"/>
    <col min="2" max="2" width="10.140625" style="165" bestFit="1" customWidth="1"/>
    <col min="3" max="3" width="12.140625" style="165" bestFit="1" customWidth="1"/>
    <col min="4" max="4" width="4.5703125" style="165" bestFit="1" customWidth="1"/>
    <col min="5" max="5" width="11" style="204" bestFit="1" customWidth="1"/>
    <col min="6" max="6" width="12.28515625" style="166" bestFit="1" customWidth="1"/>
    <col min="7" max="7" width="12.140625" style="165" bestFit="1" customWidth="1"/>
    <col min="8" max="8" width="12.140625" style="166" bestFit="1" customWidth="1"/>
    <col min="9" max="10" width="12.140625" style="165" bestFit="1" customWidth="1"/>
    <col min="11" max="11" width="11" style="204" bestFit="1" customWidth="1"/>
    <col min="12" max="12" width="12.140625" style="165" bestFit="1" customWidth="1"/>
    <col min="13" max="13" width="12" style="165" bestFit="1" customWidth="1"/>
    <col min="14" max="14" width="10.140625" style="205" bestFit="1" customWidth="1"/>
    <col min="15" max="15" width="13.7109375" style="165" bestFit="1" customWidth="1"/>
    <col min="16" max="17" width="12.5703125" style="165" bestFit="1" customWidth="1"/>
    <col min="18" max="256" width="11.42578125" style="165"/>
    <col min="257" max="257" width="8.85546875" style="165" bestFit="1" customWidth="1"/>
    <col min="258" max="258" width="10.140625" style="165" bestFit="1" customWidth="1"/>
    <col min="259" max="259" width="12.140625" style="165" bestFit="1" customWidth="1"/>
    <col min="260" max="260" width="4.5703125" style="165" bestFit="1" customWidth="1"/>
    <col min="261" max="261" width="11.28515625" style="165" bestFit="1" customWidth="1"/>
    <col min="262" max="262" width="13.28515625" style="165" bestFit="1" customWidth="1"/>
    <col min="263" max="263" width="12.140625" style="165" bestFit="1" customWidth="1"/>
    <col min="264" max="264" width="14.5703125" style="165" customWidth="1"/>
    <col min="265" max="266" width="12.140625" style="165" bestFit="1" customWidth="1"/>
    <col min="267" max="267" width="11.85546875" style="165" bestFit="1" customWidth="1"/>
    <col min="268" max="268" width="12.140625" style="165" bestFit="1" customWidth="1"/>
    <col min="269" max="269" width="12" style="165" bestFit="1" customWidth="1"/>
    <col min="270" max="270" width="18.7109375" style="165" bestFit="1" customWidth="1"/>
    <col min="271" max="512" width="11.42578125" style="165"/>
    <col min="513" max="513" width="8.85546875" style="165" bestFit="1" customWidth="1"/>
    <col min="514" max="514" width="10.140625" style="165" bestFit="1" customWidth="1"/>
    <col min="515" max="515" width="12.140625" style="165" bestFit="1" customWidth="1"/>
    <col min="516" max="516" width="4.5703125" style="165" bestFit="1" customWidth="1"/>
    <col min="517" max="517" width="11.28515625" style="165" bestFit="1" customWidth="1"/>
    <col min="518" max="518" width="13.28515625" style="165" bestFit="1" customWidth="1"/>
    <col min="519" max="519" width="12.140625" style="165" bestFit="1" customWidth="1"/>
    <col min="520" max="520" width="14.5703125" style="165" customWidth="1"/>
    <col min="521" max="522" width="12.140625" style="165" bestFit="1" customWidth="1"/>
    <col min="523" max="523" width="11.85546875" style="165" bestFit="1" customWidth="1"/>
    <col min="524" max="524" width="12.140625" style="165" bestFit="1" customWidth="1"/>
    <col min="525" max="525" width="12" style="165" bestFit="1" customWidth="1"/>
    <col min="526" max="526" width="18.7109375" style="165" bestFit="1" customWidth="1"/>
    <col min="527" max="768" width="11.42578125" style="165"/>
    <col min="769" max="769" width="8.85546875" style="165" bestFit="1" customWidth="1"/>
    <col min="770" max="770" width="10.140625" style="165" bestFit="1" customWidth="1"/>
    <col min="771" max="771" width="12.140625" style="165" bestFit="1" customWidth="1"/>
    <col min="772" max="772" width="4.5703125" style="165" bestFit="1" customWidth="1"/>
    <col min="773" max="773" width="11.28515625" style="165" bestFit="1" customWidth="1"/>
    <col min="774" max="774" width="13.28515625" style="165" bestFit="1" customWidth="1"/>
    <col min="775" max="775" width="12.140625" style="165" bestFit="1" customWidth="1"/>
    <col min="776" max="776" width="14.5703125" style="165" customWidth="1"/>
    <col min="777" max="778" width="12.140625" style="165" bestFit="1" customWidth="1"/>
    <col min="779" max="779" width="11.85546875" style="165" bestFit="1" customWidth="1"/>
    <col min="780" max="780" width="12.140625" style="165" bestFit="1" customWidth="1"/>
    <col min="781" max="781" width="12" style="165" bestFit="1" customWidth="1"/>
    <col min="782" max="782" width="18.7109375" style="165" bestFit="1" customWidth="1"/>
    <col min="783" max="1024" width="11.42578125" style="165"/>
    <col min="1025" max="1025" width="8.85546875" style="165" bestFit="1" customWidth="1"/>
    <col min="1026" max="1026" width="10.140625" style="165" bestFit="1" customWidth="1"/>
    <col min="1027" max="1027" width="12.140625" style="165" bestFit="1" customWidth="1"/>
    <col min="1028" max="1028" width="4.5703125" style="165" bestFit="1" customWidth="1"/>
    <col min="1029" max="1029" width="11.28515625" style="165" bestFit="1" customWidth="1"/>
    <col min="1030" max="1030" width="13.28515625" style="165" bestFit="1" customWidth="1"/>
    <col min="1031" max="1031" width="12.140625" style="165" bestFit="1" customWidth="1"/>
    <col min="1032" max="1032" width="14.5703125" style="165" customWidth="1"/>
    <col min="1033" max="1034" width="12.140625" style="165" bestFit="1" customWidth="1"/>
    <col min="1035" max="1035" width="11.85546875" style="165" bestFit="1" customWidth="1"/>
    <col min="1036" max="1036" width="12.140625" style="165" bestFit="1" customWidth="1"/>
    <col min="1037" max="1037" width="12" style="165" bestFit="1" customWidth="1"/>
    <col min="1038" max="1038" width="18.7109375" style="165" bestFit="1" customWidth="1"/>
    <col min="1039" max="1280" width="11.42578125" style="165"/>
    <col min="1281" max="1281" width="8.85546875" style="165" bestFit="1" customWidth="1"/>
    <col min="1282" max="1282" width="10.140625" style="165" bestFit="1" customWidth="1"/>
    <col min="1283" max="1283" width="12.140625" style="165" bestFit="1" customWidth="1"/>
    <col min="1284" max="1284" width="4.5703125" style="165" bestFit="1" customWidth="1"/>
    <col min="1285" max="1285" width="11.28515625" style="165" bestFit="1" customWidth="1"/>
    <col min="1286" max="1286" width="13.28515625" style="165" bestFit="1" customWidth="1"/>
    <col min="1287" max="1287" width="12.140625" style="165" bestFit="1" customWidth="1"/>
    <col min="1288" max="1288" width="14.5703125" style="165" customWidth="1"/>
    <col min="1289" max="1290" width="12.140625" style="165" bestFit="1" customWidth="1"/>
    <col min="1291" max="1291" width="11.85546875" style="165" bestFit="1" customWidth="1"/>
    <col min="1292" max="1292" width="12.140625" style="165" bestFit="1" customWidth="1"/>
    <col min="1293" max="1293" width="12" style="165" bestFit="1" customWidth="1"/>
    <col min="1294" max="1294" width="18.7109375" style="165" bestFit="1" customWidth="1"/>
    <col min="1295" max="1536" width="11.42578125" style="165"/>
    <col min="1537" max="1537" width="8.85546875" style="165" bestFit="1" customWidth="1"/>
    <col min="1538" max="1538" width="10.140625" style="165" bestFit="1" customWidth="1"/>
    <col min="1539" max="1539" width="12.140625" style="165" bestFit="1" customWidth="1"/>
    <col min="1540" max="1540" width="4.5703125" style="165" bestFit="1" customWidth="1"/>
    <col min="1541" max="1541" width="11.28515625" style="165" bestFit="1" customWidth="1"/>
    <col min="1542" max="1542" width="13.28515625" style="165" bestFit="1" customWidth="1"/>
    <col min="1543" max="1543" width="12.140625" style="165" bestFit="1" customWidth="1"/>
    <col min="1544" max="1544" width="14.5703125" style="165" customWidth="1"/>
    <col min="1545" max="1546" width="12.140625" style="165" bestFit="1" customWidth="1"/>
    <col min="1547" max="1547" width="11.85546875" style="165" bestFit="1" customWidth="1"/>
    <col min="1548" max="1548" width="12.140625" style="165" bestFit="1" customWidth="1"/>
    <col min="1549" max="1549" width="12" style="165" bestFit="1" customWidth="1"/>
    <col min="1550" max="1550" width="18.7109375" style="165" bestFit="1" customWidth="1"/>
    <col min="1551" max="1792" width="11.42578125" style="165"/>
    <col min="1793" max="1793" width="8.85546875" style="165" bestFit="1" customWidth="1"/>
    <col min="1794" max="1794" width="10.140625" style="165" bestFit="1" customWidth="1"/>
    <col min="1795" max="1795" width="12.140625" style="165" bestFit="1" customWidth="1"/>
    <col min="1796" max="1796" width="4.5703125" style="165" bestFit="1" customWidth="1"/>
    <col min="1797" max="1797" width="11.28515625" style="165" bestFit="1" customWidth="1"/>
    <col min="1798" max="1798" width="13.28515625" style="165" bestFit="1" customWidth="1"/>
    <col min="1799" max="1799" width="12.140625" style="165" bestFit="1" customWidth="1"/>
    <col min="1800" max="1800" width="14.5703125" style="165" customWidth="1"/>
    <col min="1801" max="1802" width="12.140625" style="165" bestFit="1" customWidth="1"/>
    <col min="1803" max="1803" width="11.85546875" style="165" bestFit="1" customWidth="1"/>
    <col min="1804" max="1804" width="12.140625" style="165" bestFit="1" customWidth="1"/>
    <col min="1805" max="1805" width="12" style="165" bestFit="1" customWidth="1"/>
    <col min="1806" max="1806" width="18.7109375" style="165" bestFit="1" customWidth="1"/>
    <col min="1807" max="2048" width="11.42578125" style="165"/>
    <col min="2049" max="2049" width="8.85546875" style="165" bestFit="1" customWidth="1"/>
    <col min="2050" max="2050" width="10.140625" style="165" bestFit="1" customWidth="1"/>
    <col min="2051" max="2051" width="12.140625" style="165" bestFit="1" customWidth="1"/>
    <col min="2052" max="2052" width="4.5703125" style="165" bestFit="1" customWidth="1"/>
    <col min="2053" max="2053" width="11.28515625" style="165" bestFit="1" customWidth="1"/>
    <col min="2054" max="2054" width="13.28515625" style="165" bestFit="1" customWidth="1"/>
    <col min="2055" max="2055" width="12.140625" style="165" bestFit="1" customWidth="1"/>
    <col min="2056" max="2056" width="14.5703125" style="165" customWidth="1"/>
    <col min="2057" max="2058" width="12.140625" style="165" bestFit="1" customWidth="1"/>
    <col min="2059" max="2059" width="11.85546875" style="165" bestFit="1" customWidth="1"/>
    <col min="2060" max="2060" width="12.140625" style="165" bestFit="1" customWidth="1"/>
    <col min="2061" max="2061" width="12" style="165" bestFit="1" customWidth="1"/>
    <col min="2062" max="2062" width="18.7109375" style="165" bestFit="1" customWidth="1"/>
    <col min="2063" max="2304" width="11.42578125" style="165"/>
    <col min="2305" max="2305" width="8.85546875" style="165" bestFit="1" customWidth="1"/>
    <col min="2306" max="2306" width="10.140625" style="165" bestFit="1" customWidth="1"/>
    <col min="2307" max="2307" width="12.140625" style="165" bestFit="1" customWidth="1"/>
    <col min="2308" max="2308" width="4.5703125" style="165" bestFit="1" customWidth="1"/>
    <col min="2309" max="2309" width="11.28515625" style="165" bestFit="1" customWidth="1"/>
    <col min="2310" max="2310" width="13.28515625" style="165" bestFit="1" customWidth="1"/>
    <col min="2311" max="2311" width="12.140625" style="165" bestFit="1" customWidth="1"/>
    <col min="2312" max="2312" width="14.5703125" style="165" customWidth="1"/>
    <col min="2313" max="2314" width="12.140625" style="165" bestFit="1" customWidth="1"/>
    <col min="2315" max="2315" width="11.85546875" style="165" bestFit="1" customWidth="1"/>
    <col min="2316" max="2316" width="12.140625" style="165" bestFit="1" customWidth="1"/>
    <col min="2317" max="2317" width="12" style="165" bestFit="1" customWidth="1"/>
    <col min="2318" max="2318" width="18.7109375" style="165" bestFit="1" customWidth="1"/>
    <col min="2319" max="2560" width="11.42578125" style="165"/>
    <col min="2561" max="2561" width="8.85546875" style="165" bestFit="1" customWidth="1"/>
    <col min="2562" max="2562" width="10.140625" style="165" bestFit="1" customWidth="1"/>
    <col min="2563" max="2563" width="12.140625" style="165" bestFit="1" customWidth="1"/>
    <col min="2564" max="2564" width="4.5703125" style="165" bestFit="1" customWidth="1"/>
    <col min="2565" max="2565" width="11.28515625" style="165" bestFit="1" customWidth="1"/>
    <col min="2566" max="2566" width="13.28515625" style="165" bestFit="1" customWidth="1"/>
    <col min="2567" max="2567" width="12.140625" style="165" bestFit="1" customWidth="1"/>
    <col min="2568" max="2568" width="14.5703125" style="165" customWidth="1"/>
    <col min="2569" max="2570" width="12.140625" style="165" bestFit="1" customWidth="1"/>
    <col min="2571" max="2571" width="11.85546875" style="165" bestFit="1" customWidth="1"/>
    <col min="2572" max="2572" width="12.140625" style="165" bestFit="1" customWidth="1"/>
    <col min="2573" max="2573" width="12" style="165" bestFit="1" customWidth="1"/>
    <col min="2574" max="2574" width="18.7109375" style="165" bestFit="1" customWidth="1"/>
    <col min="2575" max="2816" width="11.42578125" style="165"/>
    <col min="2817" max="2817" width="8.85546875" style="165" bestFit="1" customWidth="1"/>
    <col min="2818" max="2818" width="10.140625" style="165" bestFit="1" customWidth="1"/>
    <col min="2819" max="2819" width="12.140625" style="165" bestFit="1" customWidth="1"/>
    <col min="2820" max="2820" width="4.5703125" style="165" bestFit="1" customWidth="1"/>
    <col min="2821" max="2821" width="11.28515625" style="165" bestFit="1" customWidth="1"/>
    <col min="2822" max="2822" width="13.28515625" style="165" bestFit="1" customWidth="1"/>
    <col min="2823" max="2823" width="12.140625" style="165" bestFit="1" customWidth="1"/>
    <col min="2824" max="2824" width="14.5703125" style="165" customWidth="1"/>
    <col min="2825" max="2826" width="12.140625" style="165" bestFit="1" customWidth="1"/>
    <col min="2827" max="2827" width="11.85546875" style="165" bestFit="1" customWidth="1"/>
    <col min="2828" max="2828" width="12.140625" style="165" bestFit="1" customWidth="1"/>
    <col min="2829" max="2829" width="12" style="165" bestFit="1" customWidth="1"/>
    <col min="2830" max="2830" width="18.7109375" style="165" bestFit="1" customWidth="1"/>
    <col min="2831" max="3072" width="11.42578125" style="165"/>
    <col min="3073" max="3073" width="8.85546875" style="165" bestFit="1" customWidth="1"/>
    <col min="3074" max="3074" width="10.140625" style="165" bestFit="1" customWidth="1"/>
    <col min="3075" max="3075" width="12.140625" style="165" bestFit="1" customWidth="1"/>
    <col min="3076" max="3076" width="4.5703125" style="165" bestFit="1" customWidth="1"/>
    <col min="3077" max="3077" width="11.28515625" style="165" bestFit="1" customWidth="1"/>
    <col min="3078" max="3078" width="13.28515625" style="165" bestFit="1" customWidth="1"/>
    <col min="3079" max="3079" width="12.140625" style="165" bestFit="1" customWidth="1"/>
    <col min="3080" max="3080" width="14.5703125" style="165" customWidth="1"/>
    <col min="3081" max="3082" width="12.140625" style="165" bestFit="1" customWidth="1"/>
    <col min="3083" max="3083" width="11.85546875" style="165" bestFit="1" customWidth="1"/>
    <col min="3084" max="3084" width="12.140625" style="165" bestFit="1" customWidth="1"/>
    <col min="3085" max="3085" width="12" style="165" bestFit="1" customWidth="1"/>
    <col min="3086" max="3086" width="18.7109375" style="165" bestFit="1" customWidth="1"/>
    <col min="3087" max="3328" width="11.42578125" style="165"/>
    <col min="3329" max="3329" width="8.85546875" style="165" bestFit="1" customWidth="1"/>
    <col min="3330" max="3330" width="10.140625" style="165" bestFit="1" customWidth="1"/>
    <col min="3331" max="3331" width="12.140625" style="165" bestFit="1" customWidth="1"/>
    <col min="3332" max="3332" width="4.5703125" style="165" bestFit="1" customWidth="1"/>
    <col min="3333" max="3333" width="11.28515625" style="165" bestFit="1" customWidth="1"/>
    <col min="3334" max="3334" width="13.28515625" style="165" bestFit="1" customWidth="1"/>
    <col min="3335" max="3335" width="12.140625" style="165" bestFit="1" customWidth="1"/>
    <col min="3336" max="3336" width="14.5703125" style="165" customWidth="1"/>
    <col min="3337" max="3338" width="12.140625" style="165" bestFit="1" customWidth="1"/>
    <col min="3339" max="3339" width="11.85546875" style="165" bestFit="1" customWidth="1"/>
    <col min="3340" max="3340" width="12.140625" style="165" bestFit="1" customWidth="1"/>
    <col min="3341" max="3341" width="12" style="165" bestFit="1" customWidth="1"/>
    <col min="3342" max="3342" width="18.7109375" style="165" bestFit="1" customWidth="1"/>
    <col min="3343" max="3584" width="11.42578125" style="165"/>
    <col min="3585" max="3585" width="8.85546875" style="165" bestFit="1" customWidth="1"/>
    <col min="3586" max="3586" width="10.140625" style="165" bestFit="1" customWidth="1"/>
    <col min="3587" max="3587" width="12.140625" style="165" bestFit="1" customWidth="1"/>
    <col min="3588" max="3588" width="4.5703125" style="165" bestFit="1" customWidth="1"/>
    <col min="3589" max="3589" width="11.28515625" style="165" bestFit="1" customWidth="1"/>
    <col min="3590" max="3590" width="13.28515625" style="165" bestFit="1" customWidth="1"/>
    <col min="3591" max="3591" width="12.140625" style="165" bestFit="1" customWidth="1"/>
    <col min="3592" max="3592" width="14.5703125" style="165" customWidth="1"/>
    <col min="3593" max="3594" width="12.140625" style="165" bestFit="1" customWidth="1"/>
    <col min="3595" max="3595" width="11.85546875" style="165" bestFit="1" customWidth="1"/>
    <col min="3596" max="3596" width="12.140625" style="165" bestFit="1" customWidth="1"/>
    <col min="3597" max="3597" width="12" style="165" bestFit="1" customWidth="1"/>
    <col min="3598" max="3598" width="18.7109375" style="165" bestFit="1" customWidth="1"/>
    <col min="3599" max="3840" width="11.42578125" style="165"/>
    <col min="3841" max="3841" width="8.85546875" style="165" bestFit="1" customWidth="1"/>
    <col min="3842" max="3842" width="10.140625" style="165" bestFit="1" customWidth="1"/>
    <col min="3843" max="3843" width="12.140625" style="165" bestFit="1" customWidth="1"/>
    <col min="3844" max="3844" width="4.5703125" style="165" bestFit="1" customWidth="1"/>
    <col min="3845" max="3845" width="11.28515625" style="165" bestFit="1" customWidth="1"/>
    <col min="3846" max="3846" width="13.28515625" style="165" bestFit="1" customWidth="1"/>
    <col min="3847" max="3847" width="12.140625" style="165" bestFit="1" customWidth="1"/>
    <col min="3848" max="3848" width="14.5703125" style="165" customWidth="1"/>
    <col min="3849" max="3850" width="12.140625" style="165" bestFit="1" customWidth="1"/>
    <col min="3851" max="3851" width="11.85546875" style="165" bestFit="1" customWidth="1"/>
    <col min="3852" max="3852" width="12.140625" style="165" bestFit="1" customWidth="1"/>
    <col min="3853" max="3853" width="12" style="165" bestFit="1" customWidth="1"/>
    <col min="3854" max="3854" width="18.7109375" style="165" bestFit="1" customWidth="1"/>
    <col min="3855" max="4096" width="11.42578125" style="165"/>
    <col min="4097" max="4097" width="8.85546875" style="165" bestFit="1" customWidth="1"/>
    <col min="4098" max="4098" width="10.140625" style="165" bestFit="1" customWidth="1"/>
    <col min="4099" max="4099" width="12.140625" style="165" bestFit="1" customWidth="1"/>
    <col min="4100" max="4100" width="4.5703125" style="165" bestFit="1" customWidth="1"/>
    <col min="4101" max="4101" width="11.28515625" style="165" bestFit="1" customWidth="1"/>
    <col min="4102" max="4102" width="13.28515625" style="165" bestFit="1" customWidth="1"/>
    <col min="4103" max="4103" width="12.140625" style="165" bestFit="1" customWidth="1"/>
    <col min="4104" max="4104" width="14.5703125" style="165" customWidth="1"/>
    <col min="4105" max="4106" width="12.140625" style="165" bestFit="1" customWidth="1"/>
    <col min="4107" max="4107" width="11.85546875" style="165" bestFit="1" customWidth="1"/>
    <col min="4108" max="4108" width="12.140625" style="165" bestFit="1" customWidth="1"/>
    <col min="4109" max="4109" width="12" style="165" bestFit="1" customWidth="1"/>
    <col min="4110" max="4110" width="18.7109375" style="165" bestFit="1" customWidth="1"/>
    <col min="4111" max="4352" width="11.42578125" style="165"/>
    <col min="4353" max="4353" width="8.85546875" style="165" bestFit="1" customWidth="1"/>
    <col min="4354" max="4354" width="10.140625" style="165" bestFit="1" customWidth="1"/>
    <col min="4355" max="4355" width="12.140625" style="165" bestFit="1" customWidth="1"/>
    <col min="4356" max="4356" width="4.5703125" style="165" bestFit="1" customWidth="1"/>
    <col min="4357" max="4357" width="11.28515625" style="165" bestFit="1" customWidth="1"/>
    <col min="4358" max="4358" width="13.28515625" style="165" bestFit="1" customWidth="1"/>
    <col min="4359" max="4359" width="12.140625" style="165" bestFit="1" customWidth="1"/>
    <col min="4360" max="4360" width="14.5703125" style="165" customWidth="1"/>
    <col min="4361" max="4362" width="12.140625" style="165" bestFit="1" customWidth="1"/>
    <col min="4363" max="4363" width="11.85546875" style="165" bestFit="1" customWidth="1"/>
    <col min="4364" max="4364" width="12.140625" style="165" bestFit="1" customWidth="1"/>
    <col min="4365" max="4365" width="12" style="165" bestFit="1" customWidth="1"/>
    <col min="4366" max="4366" width="18.7109375" style="165" bestFit="1" customWidth="1"/>
    <col min="4367" max="4608" width="11.42578125" style="165"/>
    <col min="4609" max="4609" width="8.85546875" style="165" bestFit="1" customWidth="1"/>
    <col min="4610" max="4610" width="10.140625" style="165" bestFit="1" customWidth="1"/>
    <col min="4611" max="4611" width="12.140625" style="165" bestFit="1" customWidth="1"/>
    <col min="4612" max="4612" width="4.5703125" style="165" bestFit="1" customWidth="1"/>
    <col min="4613" max="4613" width="11.28515625" style="165" bestFit="1" customWidth="1"/>
    <col min="4614" max="4614" width="13.28515625" style="165" bestFit="1" customWidth="1"/>
    <col min="4615" max="4615" width="12.140625" style="165" bestFit="1" customWidth="1"/>
    <col min="4616" max="4616" width="14.5703125" style="165" customWidth="1"/>
    <col min="4617" max="4618" width="12.140625" style="165" bestFit="1" customWidth="1"/>
    <col min="4619" max="4619" width="11.85546875" style="165" bestFit="1" customWidth="1"/>
    <col min="4620" max="4620" width="12.140625" style="165" bestFit="1" customWidth="1"/>
    <col min="4621" max="4621" width="12" style="165" bestFit="1" customWidth="1"/>
    <col min="4622" max="4622" width="18.7109375" style="165" bestFit="1" customWidth="1"/>
    <col min="4623" max="4864" width="11.42578125" style="165"/>
    <col min="4865" max="4865" width="8.85546875" style="165" bestFit="1" customWidth="1"/>
    <col min="4866" max="4866" width="10.140625" style="165" bestFit="1" customWidth="1"/>
    <col min="4867" max="4867" width="12.140625" style="165" bestFit="1" customWidth="1"/>
    <col min="4868" max="4868" width="4.5703125" style="165" bestFit="1" customWidth="1"/>
    <col min="4869" max="4869" width="11.28515625" style="165" bestFit="1" customWidth="1"/>
    <col min="4870" max="4870" width="13.28515625" style="165" bestFit="1" customWidth="1"/>
    <col min="4871" max="4871" width="12.140625" style="165" bestFit="1" customWidth="1"/>
    <col min="4872" max="4872" width="14.5703125" style="165" customWidth="1"/>
    <col min="4873" max="4874" width="12.140625" style="165" bestFit="1" customWidth="1"/>
    <col min="4875" max="4875" width="11.85546875" style="165" bestFit="1" customWidth="1"/>
    <col min="4876" max="4876" width="12.140625" style="165" bestFit="1" customWidth="1"/>
    <col min="4877" max="4877" width="12" style="165" bestFit="1" customWidth="1"/>
    <col min="4878" max="4878" width="18.7109375" style="165" bestFit="1" customWidth="1"/>
    <col min="4879" max="5120" width="11.42578125" style="165"/>
    <col min="5121" max="5121" width="8.85546875" style="165" bestFit="1" customWidth="1"/>
    <col min="5122" max="5122" width="10.140625" style="165" bestFit="1" customWidth="1"/>
    <col min="5123" max="5123" width="12.140625" style="165" bestFit="1" customWidth="1"/>
    <col min="5124" max="5124" width="4.5703125" style="165" bestFit="1" customWidth="1"/>
    <col min="5125" max="5125" width="11.28515625" style="165" bestFit="1" customWidth="1"/>
    <col min="5126" max="5126" width="13.28515625" style="165" bestFit="1" customWidth="1"/>
    <col min="5127" max="5127" width="12.140625" style="165" bestFit="1" customWidth="1"/>
    <col min="5128" max="5128" width="14.5703125" style="165" customWidth="1"/>
    <col min="5129" max="5130" width="12.140625" style="165" bestFit="1" customWidth="1"/>
    <col min="5131" max="5131" width="11.85546875" style="165" bestFit="1" customWidth="1"/>
    <col min="5132" max="5132" width="12.140625" style="165" bestFit="1" customWidth="1"/>
    <col min="5133" max="5133" width="12" style="165" bestFit="1" customWidth="1"/>
    <col min="5134" max="5134" width="18.7109375" style="165" bestFit="1" customWidth="1"/>
    <col min="5135" max="5376" width="11.42578125" style="165"/>
    <col min="5377" max="5377" width="8.85546875" style="165" bestFit="1" customWidth="1"/>
    <col min="5378" max="5378" width="10.140625" style="165" bestFit="1" customWidth="1"/>
    <col min="5379" max="5379" width="12.140625" style="165" bestFit="1" customWidth="1"/>
    <col min="5380" max="5380" width="4.5703125" style="165" bestFit="1" customWidth="1"/>
    <col min="5381" max="5381" width="11.28515625" style="165" bestFit="1" customWidth="1"/>
    <col min="5382" max="5382" width="13.28515625" style="165" bestFit="1" customWidth="1"/>
    <col min="5383" max="5383" width="12.140625" style="165" bestFit="1" customWidth="1"/>
    <col min="5384" max="5384" width="14.5703125" style="165" customWidth="1"/>
    <col min="5385" max="5386" width="12.140625" style="165" bestFit="1" customWidth="1"/>
    <col min="5387" max="5387" width="11.85546875" style="165" bestFit="1" customWidth="1"/>
    <col min="5388" max="5388" width="12.140625" style="165" bestFit="1" customWidth="1"/>
    <col min="5389" max="5389" width="12" style="165" bestFit="1" customWidth="1"/>
    <col min="5390" max="5390" width="18.7109375" style="165" bestFit="1" customWidth="1"/>
    <col min="5391" max="5632" width="11.42578125" style="165"/>
    <col min="5633" max="5633" width="8.85546875" style="165" bestFit="1" customWidth="1"/>
    <col min="5634" max="5634" width="10.140625" style="165" bestFit="1" customWidth="1"/>
    <col min="5635" max="5635" width="12.140625" style="165" bestFit="1" customWidth="1"/>
    <col min="5636" max="5636" width="4.5703125" style="165" bestFit="1" customWidth="1"/>
    <col min="5637" max="5637" width="11.28515625" style="165" bestFit="1" customWidth="1"/>
    <col min="5638" max="5638" width="13.28515625" style="165" bestFit="1" customWidth="1"/>
    <col min="5639" max="5639" width="12.140625" style="165" bestFit="1" customWidth="1"/>
    <col min="5640" max="5640" width="14.5703125" style="165" customWidth="1"/>
    <col min="5641" max="5642" width="12.140625" style="165" bestFit="1" customWidth="1"/>
    <col min="5643" max="5643" width="11.85546875" style="165" bestFit="1" customWidth="1"/>
    <col min="5644" max="5644" width="12.140625" style="165" bestFit="1" customWidth="1"/>
    <col min="5645" max="5645" width="12" style="165" bestFit="1" customWidth="1"/>
    <col min="5646" max="5646" width="18.7109375" style="165" bestFit="1" customWidth="1"/>
    <col min="5647" max="5888" width="11.42578125" style="165"/>
    <col min="5889" max="5889" width="8.85546875" style="165" bestFit="1" customWidth="1"/>
    <col min="5890" max="5890" width="10.140625" style="165" bestFit="1" customWidth="1"/>
    <col min="5891" max="5891" width="12.140625" style="165" bestFit="1" customWidth="1"/>
    <col min="5892" max="5892" width="4.5703125" style="165" bestFit="1" customWidth="1"/>
    <col min="5893" max="5893" width="11.28515625" style="165" bestFit="1" customWidth="1"/>
    <col min="5894" max="5894" width="13.28515625" style="165" bestFit="1" customWidth="1"/>
    <col min="5895" max="5895" width="12.140625" style="165" bestFit="1" customWidth="1"/>
    <col min="5896" max="5896" width="14.5703125" style="165" customWidth="1"/>
    <col min="5897" max="5898" width="12.140625" style="165" bestFit="1" customWidth="1"/>
    <col min="5899" max="5899" width="11.85546875" style="165" bestFit="1" customWidth="1"/>
    <col min="5900" max="5900" width="12.140625" style="165" bestFit="1" customWidth="1"/>
    <col min="5901" max="5901" width="12" style="165" bestFit="1" customWidth="1"/>
    <col min="5902" max="5902" width="18.7109375" style="165" bestFit="1" customWidth="1"/>
    <col min="5903" max="6144" width="11.42578125" style="165"/>
    <col min="6145" max="6145" width="8.85546875" style="165" bestFit="1" customWidth="1"/>
    <col min="6146" max="6146" width="10.140625" style="165" bestFit="1" customWidth="1"/>
    <col min="6147" max="6147" width="12.140625" style="165" bestFit="1" customWidth="1"/>
    <col min="6148" max="6148" width="4.5703125" style="165" bestFit="1" customWidth="1"/>
    <col min="6149" max="6149" width="11.28515625" style="165" bestFit="1" customWidth="1"/>
    <col min="6150" max="6150" width="13.28515625" style="165" bestFit="1" customWidth="1"/>
    <col min="6151" max="6151" width="12.140625" style="165" bestFit="1" customWidth="1"/>
    <col min="6152" max="6152" width="14.5703125" style="165" customWidth="1"/>
    <col min="6153" max="6154" width="12.140625" style="165" bestFit="1" customWidth="1"/>
    <col min="6155" max="6155" width="11.85546875" style="165" bestFit="1" customWidth="1"/>
    <col min="6156" max="6156" width="12.140625" style="165" bestFit="1" customWidth="1"/>
    <col min="6157" max="6157" width="12" style="165" bestFit="1" customWidth="1"/>
    <col min="6158" max="6158" width="18.7109375" style="165" bestFit="1" customWidth="1"/>
    <col min="6159" max="6400" width="11.42578125" style="165"/>
    <col min="6401" max="6401" width="8.85546875" style="165" bestFit="1" customWidth="1"/>
    <col min="6402" max="6402" width="10.140625" style="165" bestFit="1" customWidth="1"/>
    <col min="6403" max="6403" width="12.140625" style="165" bestFit="1" customWidth="1"/>
    <col min="6404" max="6404" width="4.5703125" style="165" bestFit="1" customWidth="1"/>
    <col min="6405" max="6405" width="11.28515625" style="165" bestFit="1" customWidth="1"/>
    <col min="6406" max="6406" width="13.28515625" style="165" bestFit="1" customWidth="1"/>
    <col min="6407" max="6407" width="12.140625" style="165" bestFit="1" customWidth="1"/>
    <col min="6408" max="6408" width="14.5703125" style="165" customWidth="1"/>
    <col min="6409" max="6410" width="12.140625" style="165" bestFit="1" customWidth="1"/>
    <col min="6411" max="6411" width="11.85546875" style="165" bestFit="1" customWidth="1"/>
    <col min="6412" max="6412" width="12.140625" style="165" bestFit="1" customWidth="1"/>
    <col min="6413" max="6413" width="12" style="165" bestFit="1" customWidth="1"/>
    <col min="6414" max="6414" width="18.7109375" style="165" bestFit="1" customWidth="1"/>
    <col min="6415" max="6656" width="11.42578125" style="165"/>
    <col min="6657" max="6657" width="8.85546875" style="165" bestFit="1" customWidth="1"/>
    <col min="6658" max="6658" width="10.140625" style="165" bestFit="1" customWidth="1"/>
    <col min="6659" max="6659" width="12.140625" style="165" bestFit="1" customWidth="1"/>
    <col min="6660" max="6660" width="4.5703125" style="165" bestFit="1" customWidth="1"/>
    <col min="6661" max="6661" width="11.28515625" style="165" bestFit="1" customWidth="1"/>
    <col min="6662" max="6662" width="13.28515625" style="165" bestFit="1" customWidth="1"/>
    <col min="6663" max="6663" width="12.140625" style="165" bestFit="1" customWidth="1"/>
    <col min="6664" max="6664" width="14.5703125" style="165" customWidth="1"/>
    <col min="6665" max="6666" width="12.140625" style="165" bestFit="1" customWidth="1"/>
    <col min="6667" max="6667" width="11.85546875" style="165" bestFit="1" customWidth="1"/>
    <col min="6668" max="6668" width="12.140625" style="165" bestFit="1" customWidth="1"/>
    <col min="6669" max="6669" width="12" style="165" bestFit="1" customWidth="1"/>
    <col min="6670" max="6670" width="18.7109375" style="165" bestFit="1" customWidth="1"/>
    <col min="6671" max="6912" width="11.42578125" style="165"/>
    <col min="6913" max="6913" width="8.85546875" style="165" bestFit="1" customWidth="1"/>
    <col min="6914" max="6914" width="10.140625" style="165" bestFit="1" customWidth="1"/>
    <col min="6915" max="6915" width="12.140625" style="165" bestFit="1" customWidth="1"/>
    <col min="6916" max="6916" width="4.5703125" style="165" bestFit="1" customWidth="1"/>
    <col min="6917" max="6917" width="11.28515625" style="165" bestFit="1" customWidth="1"/>
    <col min="6918" max="6918" width="13.28515625" style="165" bestFit="1" customWidth="1"/>
    <col min="6919" max="6919" width="12.140625" style="165" bestFit="1" customWidth="1"/>
    <col min="6920" max="6920" width="14.5703125" style="165" customWidth="1"/>
    <col min="6921" max="6922" width="12.140625" style="165" bestFit="1" customWidth="1"/>
    <col min="6923" max="6923" width="11.85546875" style="165" bestFit="1" customWidth="1"/>
    <col min="6924" max="6924" width="12.140625" style="165" bestFit="1" customWidth="1"/>
    <col min="6925" max="6925" width="12" style="165" bestFit="1" customWidth="1"/>
    <col min="6926" max="6926" width="18.7109375" style="165" bestFit="1" customWidth="1"/>
    <col min="6927" max="7168" width="11.42578125" style="165"/>
    <col min="7169" max="7169" width="8.85546875" style="165" bestFit="1" customWidth="1"/>
    <col min="7170" max="7170" width="10.140625" style="165" bestFit="1" customWidth="1"/>
    <col min="7171" max="7171" width="12.140625" style="165" bestFit="1" customWidth="1"/>
    <col min="7172" max="7172" width="4.5703125" style="165" bestFit="1" customWidth="1"/>
    <col min="7173" max="7173" width="11.28515625" style="165" bestFit="1" customWidth="1"/>
    <col min="7174" max="7174" width="13.28515625" style="165" bestFit="1" customWidth="1"/>
    <col min="7175" max="7175" width="12.140625" style="165" bestFit="1" customWidth="1"/>
    <col min="7176" max="7176" width="14.5703125" style="165" customWidth="1"/>
    <col min="7177" max="7178" width="12.140625" style="165" bestFit="1" customWidth="1"/>
    <col min="7179" max="7179" width="11.85546875" style="165" bestFit="1" customWidth="1"/>
    <col min="7180" max="7180" width="12.140625" style="165" bestFit="1" customWidth="1"/>
    <col min="7181" max="7181" width="12" style="165" bestFit="1" customWidth="1"/>
    <col min="7182" max="7182" width="18.7109375" style="165" bestFit="1" customWidth="1"/>
    <col min="7183" max="7424" width="11.42578125" style="165"/>
    <col min="7425" max="7425" width="8.85546875" style="165" bestFit="1" customWidth="1"/>
    <col min="7426" max="7426" width="10.140625" style="165" bestFit="1" customWidth="1"/>
    <col min="7427" max="7427" width="12.140625" style="165" bestFit="1" customWidth="1"/>
    <col min="7428" max="7428" width="4.5703125" style="165" bestFit="1" customWidth="1"/>
    <col min="7429" max="7429" width="11.28515625" style="165" bestFit="1" customWidth="1"/>
    <col min="7430" max="7430" width="13.28515625" style="165" bestFit="1" customWidth="1"/>
    <col min="7431" max="7431" width="12.140625" style="165" bestFit="1" customWidth="1"/>
    <col min="7432" max="7432" width="14.5703125" style="165" customWidth="1"/>
    <col min="7433" max="7434" width="12.140625" style="165" bestFit="1" customWidth="1"/>
    <col min="7435" max="7435" width="11.85546875" style="165" bestFit="1" customWidth="1"/>
    <col min="7436" max="7436" width="12.140625" style="165" bestFit="1" customWidth="1"/>
    <col min="7437" max="7437" width="12" style="165" bestFit="1" customWidth="1"/>
    <col min="7438" max="7438" width="18.7109375" style="165" bestFit="1" customWidth="1"/>
    <col min="7439" max="7680" width="11.42578125" style="165"/>
    <col min="7681" max="7681" width="8.85546875" style="165" bestFit="1" customWidth="1"/>
    <col min="7682" max="7682" width="10.140625" style="165" bestFit="1" customWidth="1"/>
    <col min="7683" max="7683" width="12.140625" style="165" bestFit="1" customWidth="1"/>
    <col min="7684" max="7684" width="4.5703125" style="165" bestFit="1" customWidth="1"/>
    <col min="7685" max="7685" width="11.28515625" style="165" bestFit="1" customWidth="1"/>
    <col min="7686" max="7686" width="13.28515625" style="165" bestFit="1" customWidth="1"/>
    <col min="7687" max="7687" width="12.140625" style="165" bestFit="1" customWidth="1"/>
    <col min="7688" max="7688" width="14.5703125" style="165" customWidth="1"/>
    <col min="7689" max="7690" width="12.140625" style="165" bestFit="1" customWidth="1"/>
    <col min="7691" max="7691" width="11.85546875" style="165" bestFit="1" customWidth="1"/>
    <col min="7692" max="7692" width="12.140625" style="165" bestFit="1" customWidth="1"/>
    <col min="7693" max="7693" width="12" style="165" bestFit="1" customWidth="1"/>
    <col min="7694" max="7694" width="18.7109375" style="165" bestFit="1" customWidth="1"/>
    <col min="7695" max="7936" width="11.42578125" style="165"/>
    <col min="7937" max="7937" width="8.85546875" style="165" bestFit="1" customWidth="1"/>
    <col min="7938" max="7938" width="10.140625" style="165" bestFit="1" customWidth="1"/>
    <col min="7939" max="7939" width="12.140625" style="165" bestFit="1" customWidth="1"/>
    <col min="7940" max="7940" width="4.5703125" style="165" bestFit="1" customWidth="1"/>
    <col min="7941" max="7941" width="11.28515625" style="165" bestFit="1" customWidth="1"/>
    <col min="7942" max="7942" width="13.28515625" style="165" bestFit="1" customWidth="1"/>
    <col min="7943" max="7943" width="12.140625" style="165" bestFit="1" customWidth="1"/>
    <col min="7944" max="7944" width="14.5703125" style="165" customWidth="1"/>
    <col min="7945" max="7946" width="12.140625" style="165" bestFit="1" customWidth="1"/>
    <col min="7947" max="7947" width="11.85546875" style="165" bestFit="1" customWidth="1"/>
    <col min="7948" max="7948" width="12.140625" style="165" bestFit="1" customWidth="1"/>
    <col min="7949" max="7949" width="12" style="165" bestFit="1" customWidth="1"/>
    <col min="7950" max="7950" width="18.7109375" style="165" bestFit="1" customWidth="1"/>
    <col min="7951" max="8192" width="11.42578125" style="165"/>
    <col min="8193" max="8193" width="8.85546875" style="165" bestFit="1" customWidth="1"/>
    <col min="8194" max="8194" width="10.140625" style="165" bestFit="1" customWidth="1"/>
    <col min="8195" max="8195" width="12.140625" style="165" bestFit="1" customWidth="1"/>
    <col min="8196" max="8196" width="4.5703125" style="165" bestFit="1" customWidth="1"/>
    <col min="8197" max="8197" width="11.28515625" style="165" bestFit="1" customWidth="1"/>
    <col min="8198" max="8198" width="13.28515625" style="165" bestFit="1" customWidth="1"/>
    <col min="8199" max="8199" width="12.140625" style="165" bestFit="1" customWidth="1"/>
    <col min="8200" max="8200" width="14.5703125" style="165" customWidth="1"/>
    <col min="8201" max="8202" width="12.140625" style="165" bestFit="1" customWidth="1"/>
    <col min="8203" max="8203" width="11.85546875" style="165" bestFit="1" customWidth="1"/>
    <col min="8204" max="8204" width="12.140625" style="165" bestFit="1" customWidth="1"/>
    <col min="8205" max="8205" width="12" style="165" bestFit="1" customWidth="1"/>
    <col min="8206" max="8206" width="18.7109375" style="165" bestFit="1" customWidth="1"/>
    <col min="8207" max="8448" width="11.42578125" style="165"/>
    <col min="8449" max="8449" width="8.85546875" style="165" bestFit="1" customWidth="1"/>
    <col min="8450" max="8450" width="10.140625" style="165" bestFit="1" customWidth="1"/>
    <col min="8451" max="8451" width="12.140625" style="165" bestFit="1" customWidth="1"/>
    <col min="8452" max="8452" width="4.5703125" style="165" bestFit="1" customWidth="1"/>
    <col min="8453" max="8453" width="11.28515625" style="165" bestFit="1" customWidth="1"/>
    <col min="8454" max="8454" width="13.28515625" style="165" bestFit="1" customWidth="1"/>
    <col min="8455" max="8455" width="12.140625" style="165" bestFit="1" customWidth="1"/>
    <col min="8456" max="8456" width="14.5703125" style="165" customWidth="1"/>
    <col min="8457" max="8458" width="12.140625" style="165" bestFit="1" customWidth="1"/>
    <col min="8459" max="8459" width="11.85546875" style="165" bestFit="1" customWidth="1"/>
    <col min="8460" max="8460" width="12.140625" style="165" bestFit="1" customWidth="1"/>
    <col min="8461" max="8461" width="12" style="165" bestFit="1" customWidth="1"/>
    <col min="8462" max="8462" width="18.7109375" style="165" bestFit="1" customWidth="1"/>
    <col min="8463" max="8704" width="11.42578125" style="165"/>
    <col min="8705" max="8705" width="8.85546875" style="165" bestFit="1" customWidth="1"/>
    <col min="8706" max="8706" width="10.140625" style="165" bestFit="1" customWidth="1"/>
    <col min="8707" max="8707" width="12.140625" style="165" bestFit="1" customWidth="1"/>
    <col min="8708" max="8708" width="4.5703125" style="165" bestFit="1" customWidth="1"/>
    <col min="8709" max="8709" width="11.28515625" style="165" bestFit="1" customWidth="1"/>
    <col min="8710" max="8710" width="13.28515625" style="165" bestFit="1" customWidth="1"/>
    <col min="8711" max="8711" width="12.140625" style="165" bestFit="1" customWidth="1"/>
    <col min="8712" max="8712" width="14.5703125" style="165" customWidth="1"/>
    <col min="8713" max="8714" width="12.140625" style="165" bestFit="1" customWidth="1"/>
    <col min="8715" max="8715" width="11.85546875" style="165" bestFit="1" customWidth="1"/>
    <col min="8716" max="8716" width="12.140625" style="165" bestFit="1" customWidth="1"/>
    <col min="8717" max="8717" width="12" style="165" bestFit="1" customWidth="1"/>
    <col min="8718" max="8718" width="18.7109375" style="165" bestFit="1" customWidth="1"/>
    <col min="8719" max="8960" width="11.42578125" style="165"/>
    <col min="8961" max="8961" width="8.85546875" style="165" bestFit="1" customWidth="1"/>
    <col min="8962" max="8962" width="10.140625" style="165" bestFit="1" customWidth="1"/>
    <col min="8963" max="8963" width="12.140625" style="165" bestFit="1" customWidth="1"/>
    <col min="8964" max="8964" width="4.5703125" style="165" bestFit="1" customWidth="1"/>
    <col min="8965" max="8965" width="11.28515625" style="165" bestFit="1" customWidth="1"/>
    <col min="8966" max="8966" width="13.28515625" style="165" bestFit="1" customWidth="1"/>
    <col min="8967" max="8967" width="12.140625" style="165" bestFit="1" customWidth="1"/>
    <col min="8968" max="8968" width="14.5703125" style="165" customWidth="1"/>
    <col min="8969" max="8970" width="12.140625" style="165" bestFit="1" customWidth="1"/>
    <col min="8971" max="8971" width="11.85546875" style="165" bestFit="1" customWidth="1"/>
    <col min="8972" max="8972" width="12.140625" style="165" bestFit="1" customWidth="1"/>
    <col min="8973" max="8973" width="12" style="165" bestFit="1" customWidth="1"/>
    <col min="8974" max="8974" width="18.7109375" style="165" bestFit="1" customWidth="1"/>
    <col min="8975" max="9216" width="11.42578125" style="165"/>
    <col min="9217" max="9217" width="8.85546875" style="165" bestFit="1" customWidth="1"/>
    <col min="9218" max="9218" width="10.140625" style="165" bestFit="1" customWidth="1"/>
    <col min="9219" max="9219" width="12.140625" style="165" bestFit="1" customWidth="1"/>
    <col min="9220" max="9220" width="4.5703125" style="165" bestFit="1" customWidth="1"/>
    <col min="9221" max="9221" width="11.28515625" style="165" bestFit="1" customWidth="1"/>
    <col min="9222" max="9222" width="13.28515625" style="165" bestFit="1" customWidth="1"/>
    <col min="9223" max="9223" width="12.140625" style="165" bestFit="1" customWidth="1"/>
    <col min="9224" max="9224" width="14.5703125" style="165" customWidth="1"/>
    <col min="9225" max="9226" width="12.140625" style="165" bestFit="1" customWidth="1"/>
    <col min="9227" max="9227" width="11.85546875" style="165" bestFit="1" customWidth="1"/>
    <col min="9228" max="9228" width="12.140625" style="165" bestFit="1" customWidth="1"/>
    <col min="9229" max="9229" width="12" style="165" bestFit="1" customWidth="1"/>
    <col min="9230" max="9230" width="18.7109375" style="165" bestFit="1" customWidth="1"/>
    <col min="9231" max="9472" width="11.42578125" style="165"/>
    <col min="9473" max="9473" width="8.85546875" style="165" bestFit="1" customWidth="1"/>
    <col min="9474" max="9474" width="10.140625" style="165" bestFit="1" customWidth="1"/>
    <col min="9475" max="9475" width="12.140625" style="165" bestFit="1" customWidth="1"/>
    <col min="9476" max="9476" width="4.5703125" style="165" bestFit="1" customWidth="1"/>
    <col min="9477" max="9477" width="11.28515625" style="165" bestFit="1" customWidth="1"/>
    <col min="9478" max="9478" width="13.28515625" style="165" bestFit="1" customWidth="1"/>
    <col min="9479" max="9479" width="12.140625" style="165" bestFit="1" customWidth="1"/>
    <col min="9480" max="9480" width="14.5703125" style="165" customWidth="1"/>
    <col min="9481" max="9482" width="12.140625" style="165" bestFit="1" customWidth="1"/>
    <col min="9483" max="9483" width="11.85546875" style="165" bestFit="1" customWidth="1"/>
    <col min="9484" max="9484" width="12.140625" style="165" bestFit="1" customWidth="1"/>
    <col min="9485" max="9485" width="12" style="165" bestFit="1" customWidth="1"/>
    <col min="9486" max="9486" width="18.7109375" style="165" bestFit="1" customWidth="1"/>
    <col min="9487" max="9728" width="11.42578125" style="165"/>
    <col min="9729" max="9729" width="8.85546875" style="165" bestFit="1" customWidth="1"/>
    <col min="9730" max="9730" width="10.140625" style="165" bestFit="1" customWidth="1"/>
    <col min="9731" max="9731" width="12.140625" style="165" bestFit="1" customWidth="1"/>
    <col min="9732" max="9732" width="4.5703125" style="165" bestFit="1" customWidth="1"/>
    <col min="9733" max="9733" width="11.28515625" style="165" bestFit="1" customWidth="1"/>
    <col min="9734" max="9734" width="13.28515625" style="165" bestFit="1" customWidth="1"/>
    <col min="9735" max="9735" width="12.140625" style="165" bestFit="1" customWidth="1"/>
    <col min="9736" max="9736" width="14.5703125" style="165" customWidth="1"/>
    <col min="9737" max="9738" width="12.140625" style="165" bestFit="1" customWidth="1"/>
    <col min="9739" max="9739" width="11.85546875" style="165" bestFit="1" customWidth="1"/>
    <col min="9740" max="9740" width="12.140625" style="165" bestFit="1" customWidth="1"/>
    <col min="9741" max="9741" width="12" style="165" bestFit="1" customWidth="1"/>
    <col min="9742" max="9742" width="18.7109375" style="165" bestFit="1" customWidth="1"/>
    <col min="9743" max="9984" width="11.42578125" style="165"/>
    <col min="9985" max="9985" width="8.85546875" style="165" bestFit="1" customWidth="1"/>
    <col min="9986" max="9986" width="10.140625" style="165" bestFit="1" customWidth="1"/>
    <col min="9987" max="9987" width="12.140625" style="165" bestFit="1" customWidth="1"/>
    <col min="9988" max="9988" width="4.5703125" style="165" bestFit="1" customWidth="1"/>
    <col min="9989" max="9989" width="11.28515625" style="165" bestFit="1" customWidth="1"/>
    <col min="9990" max="9990" width="13.28515625" style="165" bestFit="1" customWidth="1"/>
    <col min="9991" max="9991" width="12.140625" style="165" bestFit="1" customWidth="1"/>
    <col min="9992" max="9992" width="14.5703125" style="165" customWidth="1"/>
    <col min="9993" max="9994" width="12.140625" style="165" bestFit="1" customWidth="1"/>
    <col min="9995" max="9995" width="11.85546875" style="165" bestFit="1" customWidth="1"/>
    <col min="9996" max="9996" width="12.140625" style="165" bestFit="1" customWidth="1"/>
    <col min="9997" max="9997" width="12" style="165" bestFit="1" customWidth="1"/>
    <col min="9998" max="9998" width="18.7109375" style="165" bestFit="1" customWidth="1"/>
    <col min="9999" max="10240" width="11.42578125" style="165"/>
    <col min="10241" max="10241" width="8.85546875" style="165" bestFit="1" customWidth="1"/>
    <col min="10242" max="10242" width="10.140625" style="165" bestFit="1" customWidth="1"/>
    <col min="10243" max="10243" width="12.140625" style="165" bestFit="1" customWidth="1"/>
    <col min="10244" max="10244" width="4.5703125" style="165" bestFit="1" customWidth="1"/>
    <col min="10245" max="10245" width="11.28515625" style="165" bestFit="1" customWidth="1"/>
    <col min="10246" max="10246" width="13.28515625" style="165" bestFit="1" customWidth="1"/>
    <col min="10247" max="10247" width="12.140625" style="165" bestFit="1" customWidth="1"/>
    <col min="10248" max="10248" width="14.5703125" style="165" customWidth="1"/>
    <col min="10249" max="10250" width="12.140625" style="165" bestFit="1" customWidth="1"/>
    <col min="10251" max="10251" width="11.85546875" style="165" bestFit="1" customWidth="1"/>
    <col min="10252" max="10252" width="12.140625" style="165" bestFit="1" customWidth="1"/>
    <col min="10253" max="10253" width="12" style="165" bestFit="1" customWidth="1"/>
    <col min="10254" max="10254" width="18.7109375" style="165" bestFit="1" customWidth="1"/>
    <col min="10255" max="10496" width="11.42578125" style="165"/>
    <col min="10497" max="10497" width="8.85546875" style="165" bestFit="1" customWidth="1"/>
    <col min="10498" max="10498" width="10.140625" style="165" bestFit="1" customWidth="1"/>
    <col min="10499" max="10499" width="12.140625" style="165" bestFit="1" customWidth="1"/>
    <col min="10500" max="10500" width="4.5703125" style="165" bestFit="1" customWidth="1"/>
    <col min="10501" max="10501" width="11.28515625" style="165" bestFit="1" customWidth="1"/>
    <col min="10502" max="10502" width="13.28515625" style="165" bestFit="1" customWidth="1"/>
    <col min="10503" max="10503" width="12.140625" style="165" bestFit="1" customWidth="1"/>
    <col min="10504" max="10504" width="14.5703125" style="165" customWidth="1"/>
    <col min="10505" max="10506" width="12.140625" style="165" bestFit="1" customWidth="1"/>
    <col min="10507" max="10507" width="11.85546875" style="165" bestFit="1" customWidth="1"/>
    <col min="10508" max="10508" width="12.140625" style="165" bestFit="1" customWidth="1"/>
    <col min="10509" max="10509" width="12" style="165" bestFit="1" customWidth="1"/>
    <col min="10510" max="10510" width="18.7109375" style="165" bestFit="1" customWidth="1"/>
    <col min="10511" max="10752" width="11.42578125" style="165"/>
    <col min="10753" max="10753" width="8.85546875" style="165" bestFit="1" customWidth="1"/>
    <col min="10754" max="10754" width="10.140625" style="165" bestFit="1" customWidth="1"/>
    <col min="10755" max="10755" width="12.140625" style="165" bestFit="1" customWidth="1"/>
    <col min="10756" max="10756" width="4.5703125" style="165" bestFit="1" customWidth="1"/>
    <col min="10757" max="10757" width="11.28515625" style="165" bestFit="1" customWidth="1"/>
    <col min="10758" max="10758" width="13.28515625" style="165" bestFit="1" customWidth="1"/>
    <col min="10759" max="10759" width="12.140625" style="165" bestFit="1" customWidth="1"/>
    <col min="10760" max="10760" width="14.5703125" style="165" customWidth="1"/>
    <col min="10761" max="10762" width="12.140625" style="165" bestFit="1" customWidth="1"/>
    <col min="10763" max="10763" width="11.85546875" style="165" bestFit="1" customWidth="1"/>
    <col min="10764" max="10764" width="12.140625" style="165" bestFit="1" customWidth="1"/>
    <col min="10765" max="10765" width="12" style="165" bestFit="1" customWidth="1"/>
    <col min="10766" max="10766" width="18.7109375" style="165" bestFit="1" customWidth="1"/>
    <col min="10767" max="11008" width="11.42578125" style="165"/>
    <col min="11009" max="11009" width="8.85546875" style="165" bestFit="1" customWidth="1"/>
    <col min="11010" max="11010" width="10.140625" style="165" bestFit="1" customWidth="1"/>
    <col min="11011" max="11011" width="12.140625" style="165" bestFit="1" customWidth="1"/>
    <col min="11012" max="11012" width="4.5703125" style="165" bestFit="1" customWidth="1"/>
    <col min="11013" max="11013" width="11.28515625" style="165" bestFit="1" customWidth="1"/>
    <col min="11014" max="11014" width="13.28515625" style="165" bestFit="1" customWidth="1"/>
    <col min="11015" max="11015" width="12.140625" style="165" bestFit="1" customWidth="1"/>
    <col min="11016" max="11016" width="14.5703125" style="165" customWidth="1"/>
    <col min="11017" max="11018" width="12.140625" style="165" bestFit="1" customWidth="1"/>
    <col min="11019" max="11019" width="11.85546875" style="165" bestFit="1" customWidth="1"/>
    <col min="11020" max="11020" width="12.140625" style="165" bestFit="1" customWidth="1"/>
    <col min="11021" max="11021" width="12" style="165" bestFit="1" customWidth="1"/>
    <col min="11022" max="11022" width="18.7109375" style="165" bestFit="1" customWidth="1"/>
    <col min="11023" max="11264" width="11.42578125" style="165"/>
    <col min="11265" max="11265" width="8.85546875" style="165" bestFit="1" customWidth="1"/>
    <col min="11266" max="11266" width="10.140625" style="165" bestFit="1" customWidth="1"/>
    <col min="11267" max="11267" width="12.140625" style="165" bestFit="1" customWidth="1"/>
    <col min="11268" max="11268" width="4.5703125" style="165" bestFit="1" customWidth="1"/>
    <col min="11269" max="11269" width="11.28515625" style="165" bestFit="1" customWidth="1"/>
    <col min="11270" max="11270" width="13.28515625" style="165" bestFit="1" customWidth="1"/>
    <col min="11271" max="11271" width="12.140625" style="165" bestFit="1" customWidth="1"/>
    <col min="11272" max="11272" width="14.5703125" style="165" customWidth="1"/>
    <col min="11273" max="11274" width="12.140625" style="165" bestFit="1" customWidth="1"/>
    <col min="11275" max="11275" width="11.85546875" style="165" bestFit="1" customWidth="1"/>
    <col min="11276" max="11276" width="12.140625" style="165" bestFit="1" customWidth="1"/>
    <col min="11277" max="11277" width="12" style="165" bestFit="1" customWidth="1"/>
    <col min="11278" max="11278" width="18.7109375" style="165" bestFit="1" customWidth="1"/>
    <col min="11279" max="11520" width="11.42578125" style="165"/>
    <col min="11521" max="11521" width="8.85546875" style="165" bestFit="1" customWidth="1"/>
    <col min="11522" max="11522" width="10.140625" style="165" bestFit="1" customWidth="1"/>
    <col min="11523" max="11523" width="12.140625" style="165" bestFit="1" customWidth="1"/>
    <col min="11524" max="11524" width="4.5703125" style="165" bestFit="1" customWidth="1"/>
    <col min="11525" max="11525" width="11.28515625" style="165" bestFit="1" customWidth="1"/>
    <col min="11526" max="11526" width="13.28515625" style="165" bestFit="1" customWidth="1"/>
    <col min="11527" max="11527" width="12.140625" style="165" bestFit="1" customWidth="1"/>
    <col min="11528" max="11528" width="14.5703125" style="165" customWidth="1"/>
    <col min="11529" max="11530" width="12.140625" style="165" bestFit="1" customWidth="1"/>
    <col min="11531" max="11531" width="11.85546875" style="165" bestFit="1" customWidth="1"/>
    <col min="11532" max="11532" width="12.140625" style="165" bestFit="1" customWidth="1"/>
    <col min="11533" max="11533" width="12" style="165" bestFit="1" customWidth="1"/>
    <col min="11534" max="11534" width="18.7109375" style="165" bestFit="1" customWidth="1"/>
    <col min="11535" max="11776" width="11.42578125" style="165"/>
    <col min="11777" max="11777" width="8.85546875" style="165" bestFit="1" customWidth="1"/>
    <col min="11778" max="11778" width="10.140625" style="165" bestFit="1" customWidth="1"/>
    <col min="11779" max="11779" width="12.140625" style="165" bestFit="1" customWidth="1"/>
    <col min="11780" max="11780" width="4.5703125" style="165" bestFit="1" customWidth="1"/>
    <col min="11781" max="11781" width="11.28515625" style="165" bestFit="1" customWidth="1"/>
    <col min="11782" max="11782" width="13.28515625" style="165" bestFit="1" customWidth="1"/>
    <col min="11783" max="11783" width="12.140625" style="165" bestFit="1" customWidth="1"/>
    <col min="11784" max="11784" width="14.5703125" style="165" customWidth="1"/>
    <col min="11785" max="11786" width="12.140625" style="165" bestFit="1" customWidth="1"/>
    <col min="11787" max="11787" width="11.85546875" style="165" bestFit="1" customWidth="1"/>
    <col min="11788" max="11788" width="12.140625" style="165" bestFit="1" customWidth="1"/>
    <col min="11789" max="11789" width="12" style="165" bestFit="1" customWidth="1"/>
    <col min="11790" max="11790" width="18.7109375" style="165" bestFit="1" customWidth="1"/>
    <col min="11791" max="12032" width="11.42578125" style="165"/>
    <col min="12033" max="12033" width="8.85546875" style="165" bestFit="1" customWidth="1"/>
    <col min="12034" max="12034" width="10.140625" style="165" bestFit="1" customWidth="1"/>
    <col min="12035" max="12035" width="12.140625" style="165" bestFit="1" customWidth="1"/>
    <col min="12036" max="12036" width="4.5703125" style="165" bestFit="1" customWidth="1"/>
    <col min="12037" max="12037" width="11.28515625" style="165" bestFit="1" customWidth="1"/>
    <col min="12038" max="12038" width="13.28515625" style="165" bestFit="1" customWidth="1"/>
    <col min="12039" max="12039" width="12.140625" style="165" bestFit="1" customWidth="1"/>
    <col min="12040" max="12040" width="14.5703125" style="165" customWidth="1"/>
    <col min="12041" max="12042" width="12.140625" style="165" bestFit="1" customWidth="1"/>
    <col min="12043" max="12043" width="11.85546875" style="165" bestFit="1" customWidth="1"/>
    <col min="12044" max="12044" width="12.140625" style="165" bestFit="1" customWidth="1"/>
    <col min="12045" max="12045" width="12" style="165" bestFit="1" customWidth="1"/>
    <col min="12046" max="12046" width="18.7109375" style="165" bestFit="1" customWidth="1"/>
    <col min="12047" max="12288" width="11.42578125" style="165"/>
    <col min="12289" max="12289" width="8.85546875" style="165" bestFit="1" customWidth="1"/>
    <col min="12290" max="12290" width="10.140625" style="165" bestFit="1" customWidth="1"/>
    <col min="12291" max="12291" width="12.140625" style="165" bestFit="1" customWidth="1"/>
    <col min="12292" max="12292" width="4.5703125" style="165" bestFit="1" customWidth="1"/>
    <col min="12293" max="12293" width="11.28515625" style="165" bestFit="1" customWidth="1"/>
    <col min="12294" max="12294" width="13.28515625" style="165" bestFit="1" customWidth="1"/>
    <col min="12295" max="12295" width="12.140625" style="165" bestFit="1" customWidth="1"/>
    <col min="12296" max="12296" width="14.5703125" style="165" customWidth="1"/>
    <col min="12297" max="12298" width="12.140625" style="165" bestFit="1" customWidth="1"/>
    <col min="12299" max="12299" width="11.85546875" style="165" bestFit="1" customWidth="1"/>
    <col min="12300" max="12300" width="12.140625" style="165" bestFit="1" customWidth="1"/>
    <col min="12301" max="12301" width="12" style="165" bestFit="1" customWidth="1"/>
    <col min="12302" max="12302" width="18.7109375" style="165" bestFit="1" customWidth="1"/>
    <col min="12303" max="12544" width="11.42578125" style="165"/>
    <col min="12545" max="12545" width="8.85546875" style="165" bestFit="1" customWidth="1"/>
    <col min="12546" max="12546" width="10.140625" style="165" bestFit="1" customWidth="1"/>
    <col min="12547" max="12547" width="12.140625" style="165" bestFit="1" customWidth="1"/>
    <col min="12548" max="12548" width="4.5703125" style="165" bestFit="1" customWidth="1"/>
    <col min="12549" max="12549" width="11.28515625" style="165" bestFit="1" customWidth="1"/>
    <col min="12550" max="12550" width="13.28515625" style="165" bestFit="1" customWidth="1"/>
    <col min="12551" max="12551" width="12.140625" style="165" bestFit="1" customWidth="1"/>
    <col min="12552" max="12552" width="14.5703125" style="165" customWidth="1"/>
    <col min="12553" max="12554" width="12.140625" style="165" bestFit="1" customWidth="1"/>
    <col min="12555" max="12555" width="11.85546875" style="165" bestFit="1" customWidth="1"/>
    <col min="12556" max="12556" width="12.140625" style="165" bestFit="1" customWidth="1"/>
    <col min="12557" max="12557" width="12" style="165" bestFit="1" customWidth="1"/>
    <col min="12558" max="12558" width="18.7109375" style="165" bestFit="1" customWidth="1"/>
    <col min="12559" max="12800" width="11.42578125" style="165"/>
    <col min="12801" max="12801" width="8.85546875" style="165" bestFit="1" customWidth="1"/>
    <col min="12802" max="12802" width="10.140625" style="165" bestFit="1" customWidth="1"/>
    <col min="12803" max="12803" width="12.140625" style="165" bestFit="1" customWidth="1"/>
    <col min="12804" max="12804" width="4.5703125" style="165" bestFit="1" customWidth="1"/>
    <col min="12805" max="12805" width="11.28515625" style="165" bestFit="1" customWidth="1"/>
    <col min="12806" max="12806" width="13.28515625" style="165" bestFit="1" customWidth="1"/>
    <col min="12807" max="12807" width="12.140625" style="165" bestFit="1" customWidth="1"/>
    <col min="12808" max="12808" width="14.5703125" style="165" customWidth="1"/>
    <col min="12809" max="12810" width="12.140625" style="165" bestFit="1" customWidth="1"/>
    <col min="12811" max="12811" width="11.85546875" style="165" bestFit="1" customWidth="1"/>
    <col min="12812" max="12812" width="12.140625" style="165" bestFit="1" customWidth="1"/>
    <col min="12813" max="12813" width="12" style="165" bestFit="1" customWidth="1"/>
    <col min="12814" max="12814" width="18.7109375" style="165" bestFit="1" customWidth="1"/>
    <col min="12815" max="13056" width="11.42578125" style="165"/>
    <col min="13057" max="13057" width="8.85546875" style="165" bestFit="1" customWidth="1"/>
    <col min="13058" max="13058" width="10.140625" style="165" bestFit="1" customWidth="1"/>
    <col min="13059" max="13059" width="12.140625" style="165" bestFit="1" customWidth="1"/>
    <col min="13060" max="13060" width="4.5703125" style="165" bestFit="1" customWidth="1"/>
    <col min="13061" max="13061" width="11.28515625" style="165" bestFit="1" customWidth="1"/>
    <col min="13062" max="13062" width="13.28515625" style="165" bestFit="1" customWidth="1"/>
    <col min="13063" max="13063" width="12.140625" style="165" bestFit="1" customWidth="1"/>
    <col min="13064" max="13064" width="14.5703125" style="165" customWidth="1"/>
    <col min="13065" max="13066" width="12.140625" style="165" bestFit="1" customWidth="1"/>
    <col min="13067" max="13067" width="11.85546875" style="165" bestFit="1" customWidth="1"/>
    <col min="13068" max="13068" width="12.140625" style="165" bestFit="1" customWidth="1"/>
    <col min="13069" max="13069" width="12" style="165" bestFit="1" customWidth="1"/>
    <col min="13070" max="13070" width="18.7109375" style="165" bestFit="1" customWidth="1"/>
    <col min="13071" max="13312" width="11.42578125" style="165"/>
    <col min="13313" max="13313" width="8.85546875" style="165" bestFit="1" customWidth="1"/>
    <col min="13314" max="13314" width="10.140625" style="165" bestFit="1" customWidth="1"/>
    <col min="13315" max="13315" width="12.140625" style="165" bestFit="1" customWidth="1"/>
    <col min="13316" max="13316" width="4.5703125" style="165" bestFit="1" customWidth="1"/>
    <col min="13317" max="13317" width="11.28515625" style="165" bestFit="1" customWidth="1"/>
    <col min="13318" max="13318" width="13.28515625" style="165" bestFit="1" customWidth="1"/>
    <col min="13319" max="13319" width="12.140625" style="165" bestFit="1" customWidth="1"/>
    <col min="13320" max="13320" width="14.5703125" style="165" customWidth="1"/>
    <col min="13321" max="13322" width="12.140625" style="165" bestFit="1" customWidth="1"/>
    <col min="13323" max="13323" width="11.85546875" style="165" bestFit="1" customWidth="1"/>
    <col min="13324" max="13324" width="12.140625" style="165" bestFit="1" customWidth="1"/>
    <col min="13325" max="13325" width="12" style="165" bestFit="1" customWidth="1"/>
    <col min="13326" max="13326" width="18.7109375" style="165" bestFit="1" customWidth="1"/>
    <col min="13327" max="13568" width="11.42578125" style="165"/>
    <col min="13569" max="13569" width="8.85546875" style="165" bestFit="1" customWidth="1"/>
    <col min="13570" max="13570" width="10.140625" style="165" bestFit="1" customWidth="1"/>
    <col min="13571" max="13571" width="12.140625" style="165" bestFit="1" customWidth="1"/>
    <col min="13572" max="13572" width="4.5703125" style="165" bestFit="1" customWidth="1"/>
    <col min="13573" max="13573" width="11.28515625" style="165" bestFit="1" customWidth="1"/>
    <col min="13574" max="13574" width="13.28515625" style="165" bestFit="1" customWidth="1"/>
    <col min="13575" max="13575" width="12.140625" style="165" bestFit="1" customWidth="1"/>
    <col min="13576" max="13576" width="14.5703125" style="165" customWidth="1"/>
    <col min="13577" max="13578" width="12.140625" style="165" bestFit="1" customWidth="1"/>
    <col min="13579" max="13579" width="11.85546875" style="165" bestFit="1" customWidth="1"/>
    <col min="13580" max="13580" width="12.140625" style="165" bestFit="1" customWidth="1"/>
    <col min="13581" max="13581" width="12" style="165" bestFit="1" customWidth="1"/>
    <col min="13582" max="13582" width="18.7109375" style="165" bestFit="1" customWidth="1"/>
    <col min="13583" max="13824" width="11.42578125" style="165"/>
    <col min="13825" max="13825" width="8.85546875" style="165" bestFit="1" customWidth="1"/>
    <col min="13826" max="13826" width="10.140625" style="165" bestFit="1" customWidth="1"/>
    <col min="13827" max="13827" width="12.140625" style="165" bestFit="1" customWidth="1"/>
    <col min="13828" max="13828" width="4.5703125" style="165" bestFit="1" customWidth="1"/>
    <col min="13829" max="13829" width="11.28515625" style="165" bestFit="1" customWidth="1"/>
    <col min="13830" max="13830" width="13.28515625" style="165" bestFit="1" customWidth="1"/>
    <col min="13831" max="13831" width="12.140625" style="165" bestFit="1" customWidth="1"/>
    <col min="13832" max="13832" width="14.5703125" style="165" customWidth="1"/>
    <col min="13833" max="13834" width="12.140625" style="165" bestFit="1" customWidth="1"/>
    <col min="13835" max="13835" width="11.85546875" style="165" bestFit="1" customWidth="1"/>
    <col min="13836" max="13836" width="12.140625" style="165" bestFit="1" customWidth="1"/>
    <col min="13837" max="13837" width="12" style="165" bestFit="1" customWidth="1"/>
    <col min="13838" max="13838" width="18.7109375" style="165" bestFit="1" customWidth="1"/>
    <col min="13839" max="14080" width="11.42578125" style="165"/>
    <col min="14081" max="14081" width="8.85546875" style="165" bestFit="1" customWidth="1"/>
    <col min="14082" max="14082" width="10.140625" style="165" bestFit="1" customWidth="1"/>
    <col min="14083" max="14083" width="12.140625" style="165" bestFit="1" customWidth="1"/>
    <col min="14084" max="14084" width="4.5703125" style="165" bestFit="1" customWidth="1"/>
    <col min="14085" max="14085" width="11.28515625" style="165" bestFit="1" customWidth="1"/>
    <col min="14086" max="14086" width="13.28515625" style="165" bestFit="1" customWidth="1"/>
    <col min="14087" max="14087" width="12.140625" style="165" bestFit="1" customWidth="1"/>
    <col min="14088" max="14088" width="14.5703125" style="165" customWidth="1"/>
    <col min="14089" max="14090" width="12.140625" style="165" bestFit="1" customWidth="1"/>
    <col min="14091" max="14091" width="11.85546875" style="165" bestFit="1" customWidth="1"/>
    <col min="14092" max="14092" width="12.140625" style="165" bestFit="1" customWidth="1"/>
    <col min="14093" max="14093" width="12" style="165" bestFit="1" customWidth="1"/>
    <col min="14094" max="14094" width="18.7109375" style="165" bestFit="1" customWidth="1"/>
    <col min="14095" max="14336" width="11.42578125" style="165"/>
    <col min="14337" max="14337" width="8.85546875" style="165" bestFit="1" customWidth="1"/>
    <col min="14338" max="14338" width="10.140625" style="165" bestFit="1" customWidth="1"/>
    <col min="14339" max="14339" width="12.140625" style="165" bestFit="1" customWidth="1"/>
    <col min="14340" max="14340" width="4.5703125" style="165" bestFit="1" customWidth="1"/>
    <col min="14341" max="14341" width="11.28515625" style="165" bestFit="1" customWidth="1"/>
    <col min="14342" max="14342" width="13.28515625" style="165" bestFit="1" customWidth="1"/>
    <col min="14343" max="14343" width="12.140625" style="165" bestFit="1" customWidth="1"/>
    <col min="14344" max="14344" width="14.5703125" style="165" customWidth="1"/>
    <col min="14345" max="14346" width="12.140625" style="165" bestFit="1" customWidth="1"/>
    <col min="14347" max="14347" width="11.85546875" style="165" bestFit="1" customWidth="1"/>
    <col min="14348" max="14348" width="12.140625" style="165" bestFit="1" customWidth="1"/>
    <col min="14349" max="14349" width="12" style="165" bestFit="1" customWidth="1"/>
    <col min="14350" max="14350" width="18.7109375" style="165" bestFit="1" customWidth="1"/>
    <col min="14351" max="14592" width="11.42578125" style="165"/>
    <col min="14593" max="14593" width="8.85546875" style="165" bestFit="1" customWidth="1"/>
    <col min="14594" max="14594" width="10.140625" style="165" bestFit="1" customWidth="1"/>
    <col min="14595" max="14595" width="12.140625" style="165" bestFit="1" customWidth="1"/>
    <col min="14596" max="14596" width="4.5703125" style="165" bestFit="1" customWidth="1"/>
    <col min="14597" max="14597" width="11.28515625" style="165" bestFit="1" customWidth="1"/>
    <col min="14598" max="14598" width="13.28515625" style="165" bestFit="1" customWidth="1"/>
    <col min="14599" max="14599" width="12.140625" style="165" bestFit="1" customWidth="1"/>
    <col min="14600" max="14600" width="14.5703125" style="165" customWidth="1"/>
    <col min="14601" max="14602" width="12.140625" style="165" bestFit="1" customWidth="1"/>
    <col min="14603" max="14603" width="11.85546875" style="165" bestFit="1" customWidth="1"/>
    <col min="14604" max="14604" width="12.140625" style="165" bestFit="1" customWidth="1"/>
    <col min="14605" max="14605" width="12" style="165" bestFit="1" customWidth="1"/>
    <col min="14606" max="14606" width="18.7109375" style="165" bestFit="1" customWidth="1"/>
    <col min="14607" max="14848" width="11.42578125" style="165"/>
    <col min="14849" max="14849" width="8.85546875" style="165" bestFit="1" customWidth="1"/>
    <col min="14850" max="14850" width="10.140625" style="165" bestFit="1" customWidth="1"/>
    <col min="14851" max="14851" width="12.140625" style="165" bestFit="1" customWidth="1"/>
    <col min="14852" max="14852" width="4.5703125" style="165" bestFit="1" customWidth="1"/>
    <col min="14853" max="14853" width="11.28515625" style="165" bestFit="1" customWidth="1"/>
    <col min="14854" max="14854" width="13.28515625" style="165" bestFit="1" customWidth="1"/>
    <col min="14855" max="14855" width="12.140625" style="165" bestFit="1" customWidth="1"/>
    <col min="14856" max="14856" width="14.5703125" style="165" customWidth="1"/>
    <col min="14857" max="14858" width="12.140625" style="165" bestFit="1" customWidth="1"/>
    <col min="14859" max="14859" width="11.85546875" style="165" bestFit="1" customWidth="1"/>
    <col min="14860" max="14860" width="12.140625" style="165" bestFit="1" customWidth="1"/>
    <col min="14861" max="14861" width="12" style="165" bestFit="1" customWidth="1"/>
    <col min="14862" max="14862" width="18.7109375" style="165" bestFit="1" customWidth="1"/>
    <col min="14863" max="15104" width="11.42578125" style="165"/>
    <col min="15105" max="15105" width="8.85546875" style="165" bestFit="1" customWidth="1"/>
    <col min="15106" max="15106" width="10.140625" style="165" bestFit="1" customWidth="1"/>
    <col min="15107" max="15107" width="12.140625" style="165" bestFit="1" customWidth="1"/>
    <col min="15108" max="15108" width="4.5703125" style="165" bestFit="1" customWidth="1"/>
    <col min="15109" max="15109" width="11.28515625" style="165" bestFit="1" customWidth="1"/>
    <col min="15110" max="15110" width="13.28515625" style="165" bestFit="1" customWidth="1"/>
    <col min="15111" max="15111" width="12.140625" style="165" bestFit="1" customWidth="1"/>
    <col min="15112" max="15112" width="14.5703125" style="165" customWidth="1"/>
    <col min="15113" max="15114" width="12.140625" style="165" bestFit="1" customWidth="1"/>
    <col min="15115" max="15115" width="11.85546875" style="165" bestFit="1" customWidth="1"/>
    <col min="15116" max="15116" width="12.140625" style="165" bestFit="1" customWidth="1"/>
    <col min="15117" max="15117" width="12" style="165" bestFit="1" customWidth="1"/>
    <col min="15118" max="15118" width="18.7109375" style="165" bestFit="1" customWidth="1"/>
    <col min="15119" max="15360" width="11.42578125" style="165"/>
    <col min="15361" max="15361" width="8.85546875" style="165" bestFit="1" customWidth="1"/>
    <col min="15362" max="15362" width="10.140625" style="165" bestFit="1" customWidth="1"/>
    <col min="15363" max="15363" width="12.140625" style="165" bestFit="1" customWidth="1"/>
    <col min="15364" max="15364" width="4.5703125" style="165" bestFit="1" customWidth="1"/>
    <col min="15365" max="15365" width="11.28515625" style="165" bestFit="1" customWidth="1"/>
    <col min="15366" max="15366" width="13.28515625" style="165" bestFit="1" customWidth="1"/>
    <col min="15367" max="15367" width="12.140625" style="165" bestFit="1" customWidth="1"/>
    <col min="15368" max="15368" width="14.5703125" style="165" customWidth="1"/>
    <col min="15369" max="15370" width="12.140625" style="165" bestFit="1" customWidth="1"/>
    <col min="15371" max="15371" width="11.85546875" style="165" bestFit="1" customWidth="1"/>
    <col min="15372" max="15372" width="12.140625" style="165" bestFit="1" customWidth="1"/>
    <col min="15373" max="15373" width="12" style="165" bestFit="1" customWidth="1"/>
    <col min="15374" max="15374" width="18.7109375" style="165" bestFit="1" customWidth="1"/>
    <col min="15375" max="15616" width="11.42578125" style="165"/>
    <col min="15617" max="15617" width="8.85546875" style="165" bestFit="1" customWidth="1"/>
    <col min="15618" max="15618" width="10.140625" style="165" bestFit="1" customWidth="1"/>
    <col min="15619" max="15619" width="12.140625" style="165" bestFit="1" customWidth="1"/>
    <col min="15620" max="15620" width="4.5703125" style="165" bestFit="1" customWidth="1"/>
    <col min="15621" max="15621" width="11.28515625" style="165" bestFit="1" customWidth="1"/>
    <col min="15622" max="15622" width="13.28515625" style="165" bestFit="1" customWidth="1"/>
    <col min="15623" max="15623" width="12.140625" style="165" bestFit="1" customWidth="1"/>
    <col min="15624" max="15624" width="14.5703125" style="165" customWidth="1"/>
    <col min="15625" max="15626" width="12.140625" style="165" bestFit="1" customWidth="1"/>
    <col min="15627" max="15627" width="11.85546875" style="165" bestFit="1" customWidth="1"/>
    <col min="15628" max="15628" width="12.140625" style="165" bestFit="1" customWidth="1"/>
    <col min="15629" max="15629" width="12" style="165" bestFit="1" customWidth="1"/>
    <col min="15630" max="15630" width="18.7109375" style="165" bestFit="1" customWidth="1"/>
    <col min="15631" max="15872" width="11.42578125" style="165"/>
    <col min="15873" max="15873" width="8.85546875" style="165" bestFit="1" customWidth="1"/>
    <col min="15874" max="15874" width="10.140625" style="165" bestFit="1" customWidth="1"/>
    <col min="15875" max="15875" width="12.140625" style="165" bestFit="1" customWidth="1"/>
    <col min="15876" max="15876" width="4.5703125" style="165" bestFit="1" customWidth="1"/>
    <col min="15877" max="15877" width="11.28515625" style="165" bestFit="1" customWidth="1"/>
    <col min="15878" max="15878" width="13.28515625" style="165" bestFit="1" customWidth="1"/>
    <col min="15879" max="15879" width="12.140625" style="165" bestFit="1" customWidth="1"/>
    <col min="15880" max="15880" width="14.5703125" style="165" customWidth="1"/>
    <col min="15881" max="15882" width="12.140625" style="165" bestFit="1" customWidth="1"/>
    <col min="15883" max="15883" width="11.85546875" style="165" bestFit="1" customWidth="1"/>
    <col min="15884" max="15884" width="12.140625" style="165" bestFit="1" customWidth="1"/>
    <col min="15885" max="15885" width="12" style="165" bestFit="1" customWidth="1"/>
    <col min="15886" max="15886" width="18.7109375" style="165" bestFit="1" customWidth="1"/>
    <col min="15887" max="16128" width="11.42578125" style="165"/>
    <col min="16129" max="16129" width="8.85546875" style="165" bestFit="1" customWidth="1"/>
    <col min="16130" max="16130" width="10.140625" style="165" bestFit="1" customWidth="1"/>
    <col min="16131" max="16131" width="12.140625" style="165" bestFit="1" customWidth="1"/>
    <col min="16132" max="16132" width="4.5703125" style="165" bestFit="1" customWidth="1"/>
    <col min="16133" max="16133" width="11.28515625" style="165" bestFit="1" customWidth="1"/>
    <col min="16134" max="16134" width="13.28515625" style="165" bestFit="1" customWidth="1"/>
    <col min="16135" max="16135" width="12.140625" style="165" bestFit="1" customWidth="1"/>
    <col min="16136" max="16136" width="14.5703125" style="165" customWidth="1"/>
    <col min="16137" max="16138" width="12.140625" style="165" bestFit="1" customWidth="1"/>
    <col min="16139" max="16139" width="11.85546875" style="165" bestFit="1" customWidth="1"/>
    <col min="16140" max="16140" width="12.140625" style="165" bestFit="1" customWidth="1"/>
    <col min="16141" max="16141" width="12" style="165" bestFit="1" customWidth="1"/>
    <col min="16142" max="16142" width="18.7109375" style="165" bestFit="1" customWidth="1"/>
    <col min="16143" max="16384" width="11.42578125" style="165"/>
  </cols>
  <sheetData>
    <row r="1" spans="1:15" ht="13.5" thickBot="1"/>
    <row r="2" spans="1:15">
      <c r="A2" s="699" t="s">
        <v>477</v>
      </c>
      <c r="B2" s="693" t="s">
        <v>476</v>
      </c>
      <c r="C2" s="694"/>
      <c r="D2" s="694"/>
      <c r="E2" s="694"/>
      <c r="F2" s="694"/>
      <c r="G2" s="695"/>
      <c r="H2" s="696" t="s">
        <v>475</v>
      </c>
      <c r="I2" s="697"/>
      <c r="J2" s="698"/>
      <c r="K2" s="696" t="s">
        <v>421</v>
      </c>
      <c r="L2" s="698"/>
      <c r="M2" s="699" t="s">
        <v>474</v>
      </c>
    </row>
    <row r="3" spans="1:15" ht="13.5" thickBot="1">
      <c r="A3" s="700"/>
      <c r="B3" s="595" t="s">
        <v>473</v>
      </c>
      <c r="C3" s="594" t="s">
        <v>472</v>
      </c>
      <c r="D3" s="594" t="s">
        <v>471</v>
      </c>
      <c r="E3" s="596" t="s">
        <v>470</v>
      </c>
      <c r="F3" s="597" t="s">
        <v>469</v>
      </c>
      <c r="G3" s="589" t="s">
        <v>450</v>
      </c>
      <c r="H3" s="593" t="s">
        <v>467</v>
      </c>
      <c r="I3" s="594" t="s">
        <v>468</v>
      </c>
      <c r="J3" s="589" t="s">
        <v>423</v>
      </c>
      <c r="K3" s="588" t="s">
        <v>467</v>
      </c>
      <c r="L3" s="589" t="s">
        <v>466</v>
      </c>
      <c r="M3" s="700"/>
    </row>
    <row r="4" spans="1:15">
      <c r="A4" s="598" t="s">
        <v>457</v>
      </c>
      <c r="B4" s="467" t="s">
        <v>613</v>
      </c>
      <c r="C4" s="468">
        <v>42320</v>
      </c>
      <c r="D4" s="469" t="s">
        <v>419</v>
      </c>
      <c r="E4" s="470">
        <v>52789.93</v>
      </c>
      <c r="F4" s="471">
        <f>+E4*2.16865</f>
        <v>114482.8816945</v>
      </c>
      <c r="G4" s="472">
        <v>42410</v>
      </c>
      <c r="H4" s="590"/>
      <c r="I4" s="591"/>
      <c r="J4" s="592"/>
      <c r="K4" s="586"/>
      <c r="L4" s="587"/>
      <c r="M4" s="599">
        <f t="shared" ref="M4:M11" si="0">E4-K4</f>
        <v>52789.93</v>
      </c>
    </row>
    <row r="5" spans="1:15" s="286" customFormat="1">
      <c r="A5" s="395" t="s">
        <v>461</v>
      </c>
      <c r="B5" s="396" t="s">
        <v>617</v>
      </c>
      <c r="C5" s="397">
        <v>42338</v>
      </c>
      <c r="D5" s="398" t="s">
        <v>460</v>
      </c>
      <c r="E5" s="399">
        <v>185713.44</v>
      </c>
      <c r="F5" s="400">
        <f>+E5*2.0433</f>
        <v>379468.27195199998</v>
      </c>
      <c r="G5" s="401">
        <v>42459</v>
      </c>
      <c r="H5" s="402">
        <v>305000</v>
      </c>
      <c r="I5" s="397"/>
      <c r="J5" s="401">
        <f>+C5+90</f>
        <v>42428</v>
      </c>
      <c r="K5" s="403"/>
      <c r="L5" s="562"/>
      <c r="M5" s="404">
        <f t="shared" si="0"/>
        <v>185713.44</v>
      </c>
      <c r="N5" s="287"/>
      <c r="O5" s="405"/>
    </row>
    <row r="6" spans="1:15" s="502" customFormat="1" ht="13.5" thickBot="1">
      <c r="A6" s="563" t="s">
        <v>457</v>
      </c>
      <c r="B6" s="564" t="s">
        <v>642</v>
      </c>
      <c r="C6" s="565">
        <v>42353</v>
      </c>
      <c r="D6" s="566" t="s">
        <v>460</v>
      </c>
      <c r="E6" s="567">
        <v>14741.5</v>
      </c>
      <c r="F6" s="568">
        <f>E6*2.00595</f>
        <v>29570.711925</v>
      </c>
      <c r="G6" s="569">
        <v>42443</v>
      </c>
      <c r="H6" s="570"/>
      <c r="I6" s="565"/>
      <c r="J6" s="569"/>
      <c r="K6" s="571"/>
      <c r="L6" s="572"/>
      <c r="M6" s="573">
        <f t="shared" si="0"/>
        <v>14741.5</v>
      </c>
      <c r="O6" s="503"/>
    </row>
    <row r="7" spans="1:15">
      <c r="A7" s="438" t="s">
        <v>458</v>
      </c>
      <c r="B7" s="439" t="s">
        <v>774</v>
      </c>
      <c r="C7" s="440">
        <v>42384</v>
      </c>
      <c r="D7" s="441" t="s">
        <v>419</v>
      </c>
      <c r="E7" s="442">
        <v>186591.56</v>
      </c>
      <c r="F7" s="448">
        <f>+E7*2.2077</f>
        <v>411938.18701200001</v>
      </c>
      <c r="G7" s="444">
        <v>42481</v>
      </c>
      <c r="H7" s="445"/>
      <c r="I7" s="440"/>
      <c r="J7" s="444"/>
      <c r="K7" s="446"/>
      <c r="L7" s="449"/>
      <c r="M7" s="447">
        <f t="shared" si="0"/>
        <v>186591.56</v>
      </c>
      <c r="O7" s="252"/>
    </row>
    <row r="8" spans="1:15" s="286" customFormat="1">
      <c r="A8" s="206" t="s">
        <v>463</v>
      </c>
      <c r="B8" s="288" t="s">
        <v>775</v>
      </c>
      <c r="C8" s="289">
        <v>42389</v>
      </c>
      <c r="D8" s="290" t="s">
        <v>460</v>
      </c>
      <c r="E8" s="291">
        <v>57547.5</v>
      </c>
      <c r="F8" s="292">
        <f>E8*2.0365</f>
        <v>117195.48375000001</v>
      </c>
      <c r="G8" s="293">
        <v>42479</v>
      </c>
      <c r="H8" s="300"/>
      <c r="I8" s="289"/>
      <c r="J8" s="293"/>
      <c r="K8" s="304"/>
      <c r="L8" s="301"/>
      <c r="M8" s="330">
        <f t="shared" si="0"/>
        <v>57547.5</v>
      </c>
      <c r="N8" s="287"/>
      <c r="O8" s="405"/>
    </row>
    <row r="9" spans="1:15" s="286" customFormat="1">
      <c r="A9" s="206" t="s">
        <v>457</v>
      </c>
      <c r="B9" s="288" t="s">
        <v>776</v>
      </c>
      <c r="C9" s="289">
        <v>42394</v>
      </c>
      <c r="D9" s="290" t="s">
        <v>460</v>
      </c>
      <c r="E9" s="291">
        <v>61973.64</v>
      </c>
      <c r="F9" s="292">
        <f>E9*2.03285</f>
        <v>125983.11407399998</v>
      </c>
      <c r="G9" s="293">
        <v>42484</v>
      </c>
      <c r="H9" s="300"/>
      <c r="I9" s="289"/>
      <c r="J9" s="293"/>
      <c r="K9" s="304"/>
      <c r="L9" s="301"/>
      <c r="M9" s="330">
        <f t="shared" si="0"/>
        <v>61973.64</v>
      </c>
      <c r="N9" s="287"/>
      <c r="O9" s="405"/>
    </row>
    <row r="10" spans="1:15" s="286" customFormat="1">
      <c r="A10" s="206" t="s">
        <v>457</v>
      </c>
      <c r="B10" s="288" t="s">
        <v>928</v>
      </c>
      <c r="C10" s="289">
        <v>42422</v>
      </c>
      <c r="D10" s="290" t="s">
        <v>460</v>
      </c>
      <c r="E10" s="291">
        <v>31260.71</v>
      </c>
      <c r="F10" s="292">
        <f>+E10*2.0168</f>
        <v>63046.599927999996</v>
      </c>
      <c r="G10" s="293">
        <f>+C10+60</f>
        <v>42482</v>
      </c>
      <c r="H10" s="300"/>
      <c r="I10" s="289"/>
      <c r="J10" s="293"/>
      <c r="K10" s="304"/>
      <c r="L10" s="301"/>
      <c r="M10" s="330">
        <f t="shared" si="0"/>
        <v>31260.71</v>
      </c>
      <c r="N10" s="287"/>
      <c r="O10" s="405"/>
    </row>
    <row r="11" spans="1:15" s="286" customFormat="1">
      <c r="A11" s="206" t="s">
        <v>461</v>
      </c>
      <c r="B11" s="288" t="s">
        <v>930</v>
      </c>
      <c r="C11" s="289">
        <v>42432</v>
      </c>
      <c r="D11" s="290" t="s">
        <v>460</v>
      </c>
      <c r="E11" s="291">
        <v>97110.5</v>
      </c>
      <c r="F11" s="292">
        <f>E11*2.02425</f>
        <v>196575.92962499999</v>
      </c>
      <c r="G11" s="293">
        <f>+C11+120</f>
        <v>42552</v>
      </c>
      <c r="H11" s="300"/>
      <c r="I11" s="289"/>
      <c r="J11" s="293"/>
      <c r="K11" s="304"/>
      <c r="L11" s="301"/>
      <c r="M11" s="330">
        <f t="shared" si="0"/>
        <v>97110.5</v>
      </c>
      <c r="N11" s="287"/>
      <c r="O11" s="405"/>
    </row>
    <row r="12" spans="1:15" s="286" customFormat="1" ht="13.5" thickBot="1">
      <c r="A12" s="406"/>
      <c r="B12" s="407"/>
      <c r="C12" s="408"/>
      <c r="D12" s="409"/>
      <c r="E12" s="410"/>
      <c r="F12" s="411"/>
      <c r="G12" s="412"/>
      <c r="H12" s="413"/>
      <c r="I12" s="408"/>
      <c r="J12" s="412"/>
      <c r="K12" s="414"/>
      <c r="L12" s="415"/>
      <c r="M12" s="416"/>
      <c r="N12" s="287"/>
      <c r="O12" s="405"/>
    </row>
    <row r="13" spans="1:15" s="423" customFormat="1" ht="13.5" thickBot="1">
      <c r="A13" s="417"/>
      <c r="B13" s="417"/>
      <c r="C13" s="418"/>
      <c r="D13" s="417"/>
      <c r="E13" s="419"/>
      <c r="F13" s="420"/>
      <c r="G13" s="418"/>
      <c r="H13" s="420"/>
      <c r="I13" s="418"/>
      <c r="J13" s="418"/>
      <c r="K13" s="419"/>
      <c r="L13" s="417"/>
      <c r="M13" s="421"/>
      <c r="N13" s="422"/>
    </row>
    <row r="14" spans="1:15">
      <c r="A14" s="699" t="s">
        <v>477</v>
      </c>
      <c r="B14" s="693" t="s">
        <v>476</v>
      </c>
      <c r="C14" s="694"/>
      <c r="D14" s="694"/>
      <c r="E14" s="694"/>
      <c r="F14" s="694"/>
      <c r="G14" s="695"/>
      <c r="H14" s="696" t="s">
        <v>475</v>
      </c>
      <c r="I14" s="697"/>
      <c r="J14" s="698"/>
      <c r="K14" s="696" t="s">
        <v>421</v>
      </c>
      <c r="L14" s="698"/>
      <c r="M14" s="699" t="s">
        <v>474</v>
      </c>
    </row>
    <row r="15" spans="1:15" ht="13.5" thickBot="1">
      <c r="A15" s="700"/>
      <c r="B15" s="595" t="s">
        <v>473</v>
      </c>
      <c r="C15" s="594" t="s">
        <v>472</v>
      </c>
      <c r="D15" s="594" t="s">
        <v>471</v>
      </c>
      <c r="E15" s="596" t="s">
        <v>470</v>
      </c>
      <c r="F15" s="597" t="s">
        <v>469</v>
      </c>
      <c r="G15" s="589" t="s">
        <v>450</v>
      </c>
      <c r="H15" s="593" t="s">
        <v>467</v>
      </c>
      <c r="I15" s="594" t="s">
        <v>468</v>
      </c>
      <c r="J15" s="589" t="s">
        <v>423</v>
      </c>
      <c r="K15" s="588" t="s">
        <v>467</v>
      </c>
      <c r="L15" s="600" t="s">
        <v>466</v>
      </c>
      <c r="M15" s="700"/>
    </row>
    <row r="16" spans="1:15" s="336" customFormat="1">
      <c r="A16" s="424" t="s">
        <v>461</v>
      </c>
      <c r="B16" s="425" t="s">
        <v>614</v>
      </c>
      <c r="C16" s="426">
        <v>40680</v>
      </c>
      <c r="D16" s="427" t="s">
        <v>419</v>
      </c>
      <c r="E16" s="428">
        <v>5190.95</v>
      </c>
      <c r="F16" s="429">
        <f>+E16*1.95835</f>
        <v>10165.696932499999</v>
      </c>
      <c r="G16" s="430">
        <f>+C16+90</f>
        <v>40770</v>
      </c>
      <c r="H16" s="431"/>
      <c r="I16" s="428"/>
      <c r="J16" s="430"/>
      <c r="K16" s="432"/>
      <c r="L16" s="433"/>
      <c r="M16" s="434">
        <f>+E16-K16</f>
        <v>5190.95</v>
      </c>
    </row>
    <row r="17" spans="1:18">
      <c r="A17" s="466" t="s">
        <v>457</v>
      </c>
      <c r="B17" s="467" t="s">
        <v>465</v>
      </c>
      <c r="C17" s="468">
        <v>42257</v>
      </c>
      <c r="D17" s="469" t="s">
        <v>419</v>
      </c>
      <c r="E17" s="470">
        <v>58227.99</v>
      </c>
      <c r="F17" s="471">
        <f>+E17*2.19075</f>
        <v>127562.96909249999</v>
      </c>
      <c r="G17" s="472">
        <v>42347</v>
      </c>
      <c r="H17" s="473"/>
      <c r="I17" s="468"/>
      <c r="J17" s="472"/>
      <c r="K17" s="474">
        <f>10227.99+28000</f>
        <v>38227.99</v>
      </c>
      <c r="L17" s="472"/>
      <c r="M17" s="476">
        <f t="shared" ref="M17:M28" si="1">E17-K17</f>
        <v>20000</v>
      </c>
      <c r="N17" s="165"/>
      <c r="P17" s="204"/>
    </row>
    <row r="18" spans="1:18" s="286" customFormat="1">
      <c r="A18" s="395" t="s">
        <v>457</v>
      </c>
      <c r="B18" s="396" t="s">
        <v>464</v>
      </c>
      <c r="C18" s="397">
        <v>42282</v>
      </c>
      <c r="D18" s="398" t="s">
        <v>460</v>
      </c>
      <c r="E18" s="399">
        <v>62641.2</v>
      </c>
      <c r="F18" s="400">
        <f>+E18*1.93585</f>
        <v>121263.96702</v>
      </c>
      <c r="G18" s="401">
        <v>42372</v>
      </c>
      <c r="H18" s="402"/>
      <c r="I18" s="397"/>
      <c r="J18" s="401"/>
      <c r="K18" s="477"/>
      <c r="L18" s="401"/>
      <c r="M18" s="404">
        <f t="shared" si="1"/>
        <v>62641.2</v>
      </c>
      <c r="R18" s="435"/>
    </row>
    <row r="19" spans="1:18" s="286" customFormat="1">
      <c r="A19" s="395" t="s">
        <v>457</v>
      </c>
      <c r="B19" s="396" t="s">
        <v>462</v>
      </c>
      <c r="C19" s="397">
        <v>42297</v>
      </c>
      <c r="D19" s="398" t="s">
        <v>460</v>
      </c>
      <c r="E19" s="399">
        <v>16523.330000000002</v>
      </c>
      <c r="F19" s="400">
        <f>E19*1.97865</f>
        <v>32693.886904500003</v>
      </c>
      <c r="G19" s="401">
        <v>42387</v>
      </c>
      <c r="H19" s="402"/>
      <c r="I19" s="397"/>
      <c r="J19" s="401"/>
      <c r="K19" s="403"/>
      <c r="L19" s="401"/>
      <c r="M19" s="404">
        <f t="shared" si="1"/>
        <v>16523.330000000002</v>
      </c>
      <c r="R19" s="435"/>
    </row>
    <row r="20" spans="1:18" s="286" customFormat="1">
      <c r="A20" s="553" t="s">
        <v>461</v>
      </c>
      <c r="B20" s="554" t="s">
        <v>615</v>
      </c>
      <c r="C20" s="555">
        <v>42298</v>
      </c>
      <c r="D20" s="556" t="s">
        <v>460</v>
      </c>
      <c r="E20" s="557">
        <v>247949.91</v>
      </c>
      <c r="F20" s="507">
        <f>E20*1.9907</f>
        <v>493593.88583699998</v>
      </c>
      <c r="G20" s="558">
        <v>42431</v>
      </c>
      <c r="H20" s="601">
        <v>395000</v>
      </c>
      <c r="I20" s="561"/>
      <c r="J20" s="558">
        <v>42448</v>
      </c>
      <c r="K20" s="559">
        <f>120605.82+127283.5</f>
        <v>247889.32</v>
      </c>
      <c r="L20" s="558"/>
      <c r="M20" s="560">
        <f t="shared" si="1"/>
        <v>60.589999999996508</v>
      </c>
      <c r="O20" s="436"/>
      <c r="R20" s="435"/>
    </row>
    <row r="21" spans="1:18">
      <c r="A21" s="466" t="s">
        <v>457</v>
      </c>
      <c r="B21" s="467" t="s">
        <v>459</v>
      </c>
      <c r="C21" s="468">
        <v>42300</v>
      </c>
      <c r="D21" s="469" t="s">
        <v>419</v>
      </c>
      <c r="E21" s="470">
        <v>45782.32</v>
      </c>
      <c r="F21" s="471">
        <f>E21*2.1847</f>
        <v>100020.63450399999</v>
      </c>
      <c r="G21" s="472">
        <v>42390</v>
      </c>
      <c r="H21" s="602"/>
      <c r="I21" s="468"/>
      <c r="J21" s="472"/>
      <c r="K21" s="474"/>
      <c r="L21" s="472"/>
      <c r="M21" s="476">
        <f t="shared" si="1"/>
        <v>45782.32</v>
      </c>
      <c r="N21" s="165"/>
      <c r="R21" s="166"/>
    </row>
    <row r="22" spans="1:18">
      <c r="A22" s="466" t="s">
        <v>457</v>
      </c>
      <c r="B22" s="467" t="s">
        <v>456</v>
      </c>
      <c r="C22" s="468">
        <v>42304</v>
      </c>
      <c r="D22" s="469" t="s">
        <v>419</v>
      </c>
      <c r="E22" s="470">
        <v>53499.12</v>
      </c>
      <c r="F22" s="471">
        <f>E22*2.18275</f>
        <v>116775.20418</v>
      </c>
      <c r="G22" s="472">
        <v>42394</v>
      </c>
      <c r="H22" s="602"/>
      <c r="I22" s="468"/>
      <c r="J22" s="472"/>
      <c r="K22" s="474"/>
      <c r="L22" s="472"/>
      <c r="M22" s="476">
        <f t="shared" si="1"/>
        <v>53499.12</v>
      </c>
      <c r="N22" s="165"/>
      <c r="O22" s="204"/>
    </row>
    <row r="23" spans="1:18" s="286" customFormat="1">
      <c r="A23" s="553" t="s">
        <v>461</v>
      </c>
      <c r="B23" s="554" t="s">
        <v>618</v>
      </c>
      <c r="C23" s="555">
        <v>42317</v>
      </c>
      <c r="D23" s="556" t="s">
        <v>460</v>
      </c>
      <c r="E23" s="557">
        <v>122472.96000000001</v>
      </c>
      <c r="F23" s="507">
        <f>+E23*2.017</f>
        <v>247027.96032000001</v>
      </c>
      <c r="G23" s="558">
        <v>42442</v>
      </c>
      <c r="H23" s="601">
        <v>195000</v>
      </c>
      <c r="I23" s="561"/>
      <c r="J23" s="558">
        <f>+C23+90</f>
        <v>42407</v>
      </c>
      <c r="K23" s="559">
        <f>60154.4+62091.97</f>
        <v>122246.37</v>
      </c>
      <c r="L23" s="558"/>
      <c r="M23" s="560">
        <f t="shared" si="1"/>
        <v>226.59000000001106</v>
      </c>
    </row>
    <row r="24" spans="1:18" s="286" customFormat="1">
      <c r="A24" s="395" t="s">
        <v>463</v>
      </c>
      <c r="B24" s="396" t="s">
        <v>619</v>
      </c>
      <c r="C24" s="397">
        <v>42333</v>
      </c>
      <c r="D24" s="398" t="s">
        <v>460</v>
      </c>
      <c r="E24" s="399">
        <v>61196.5</v>
      </c>
      <c r="F24" s="400">
        <f>+E24*2.0476</f>
        <v>125305.9534</v>
      </c>
      <c r="G24" s="401">
        <v>42431</v>
      </c>
      <c r="H24" s="402"/>
      <c r="I24" s="397"/>
      <c r="J24" s="401"/>
      <c r="K24" s="403"/>
      <c r="L24" s="401"/>
      <c r="M24" s="404">
        <f t="shared" si="1"/>
        <v>61196.5</v>
      </c>
      <c r="O24" s="506"/>
    </row>
    <row r="25" spans="1:18" s="286" customFormat="1">
      <c r="A25" s="395" t="s">
        <v>463</v>
      </c>
      <c r="B25" s="396" t="s">
        <v>620</v>
      </c>
      <c r="C25" s="397">
        <v>42333</v>
      </c>
      <c r="D25" s="398" t="s">
        <v>460</v>
      </c>
      <c r="E25" s="399">
        <v>61861.5</v>
      </c>
      <c r="F25" s="400">
        <f>+E25*2.0476</f>
        <v>126667.60740000001</v>
      </c>
      <c r="G25" s="401">
        <v>42431</v>
      </c>
      <c r="H25" s="402"/>
      <c r="I25" s="397"/>
      <c r="J25" s="401"/>
      <c r="K25" s="403"/>
      <c r="L25" s="401"/>
      <c r="M25" s="404">
        <f t="shared" si="1"/>
        <v>61861.5</v>
      </c>
      <c r="O25" s="405"/>
    </row>
    <row r="26" spans="1:18" s="286" customFormat="1">
      <c r="A26" s="206" t="s">
        <v>461</v>
      </c>
      <c r="B26" s="288" t="s">
        <v>676</v>
      </c>
      <c r="C26" s="289">
        <v>42356</v>
      </c>
      <c r="D26" s="290" t="s">
        <v>460</v>
      </c>
      <c r="E26" s="291">
        <v>217912.86</v>
      </c>
      <c r="F26" s="292">
        <f>E26*2.01185</f>
        <v>438407.98739099997</v>
      </c>
      <c r="G26" s="293">
        <v>42485</v>
      </c>
      <c r="H26" s="300"/>
      <c r="I26" s="290"/>
      <c r="J26" s="301"/>
      <c r="K26" s="304"/>
      <c r="L26" s="301"/>
      <c r="M26" s="330">
        <f t="shared" si="1"/>
        <v>217912.86</v>
      </c>
      <c r="N26" s="287"/>
    </row>
    <row r="27" spans="1:18" s="336" customFormat="1">
      <c r="A27" s="466" t="s">
        <v>458</v>
      </c>
      <c r="B27" s="467" t="s">
        <v>677</v>
      </c>
      <c r="C27" s="468">
        <v>42359</v>
      </c>
      <c r="D27" s="469" t="s">
        <v>419</v>
      </c>
      <c r="E27" s="470">
        <v>694484.64</v>
      </c>
      <c r="F27" s="471">
        <f>E27*2.19375</f>
        <v>1523525.679</v>
      </c>
      <c r="G27" s="472">
        <v>42456</v>
      </c>
      <c r="H27" s="473"/>
      <c r="I27" s="469"/>
      <c r="J27" s="475"/>
      <c r="K27" s="474"/>
      <c r="L27" s="475"/>
      <c r="M27" s="476">
        <f t="shared" si="1"/>
        <v>694484.64</v>
      </c>
    </row>
    <row r="28" spans="1:18" ht="13.5" thickBot="1">
      <c r="A28" s="306" t="s">
        <v>461</v>
      </c>
      <c r="B28" s="294" t="s">
        <v>678</v>
      </c>
      <c r="C28" s="295">
        <v>42363</v>
      </c>
      <c r="D28" s="296" t="s">
        <v>419</v>
      </c>
      <c r="E28" s="297">
        <v>2590.8000000000002</v>
      </c>
      <c r="F28" s="298">
        <f>+E28*2.19995</f>
        <v>5699.6304600000003</v>
      </c>
      <c r="G28" s="299">
        <v>42485</v>
      </c>
      <c r="H28" s="302"/>
      <c r="I28" s="296"/>
      <c r="J28" s="303"/>
      <c r="K28" s="305"/>
      <c r="L28" s="303"/>
      <c r="M28" s="437">
        <f t="shared" si="1"/>
        <v>2590.8000000000002</v>
      </c>
    </row>
    <row r="29" spans="1:18">
      <c r="A29" s="438" t="s">
        <v>457</v>
      </c>
      <c r="B29" s="439" t="s">
        <v>771</v>
      </c>
      <c r="C29" s="440">
        <v>42388</v>
      </c>
      <c r="D29" s="441" t="s">
        <v>419</v>
      </c>
      <c r="E29" s="442">
        <v>70769.149999999994</v>
      </c>
      <c r="F29" s="443">
        <f>E29*2.21425</f>
        <v>156700.59038749998</v>
      </c>
      <c r="G29" s="444">
        <v>42478</v>
      </c>
      <c r="H29" s="445"/>
      <c r="I29" s="440"/>
      <c r="J29" s="444"/>
      <c r="K29" s="446"/>
      <c r="L29" s="444"/>
      <c r="M29" s="447">
        <f t="shared" ref="M29" si="2">E29-K29</f>
        <v>70769.149999999994</v>
      </c>
      <c r="N29" s="165"/>
    </row>
    <row r="30" spans="1:18" s="286" customFormat="1">
      <c r="A30" s="206" t="s">
        <v>461</v>
      </c>
      <c r="B30" s="288" t="s">
        <v>772</v>
      </c>
      <c r="C30" s="289">
        <v>42394</v>
      </c>
      <c r="D30" s="290" t="s">
        <v>460</v>
      </c>
      <c r="E30" s="291">
        <v>120772.23</v>
      </c>
      <c r="F30" s="292">
        <f>+E30*2.0293</f>
        <v>245083.086339</v>
      </c>
      <c r="G30" s="293">
        <f>+C30+120</f>
        <v>42514</v>
      </c>
      <c r="H30" s="300"/>
      <c r="I30" s="290"/>
      <c r="J30" s="301"/>
      <c r="K30" s="304"/>
      <c r="L30" s="301"/>
      <c r="M30" s="330">
        <f t="shared" ref="M30" si="3">E30-K30</f>
        <v>120772.23</v>
      </c>
      <c r="N30" s="287"/>
    </row>
    <row r="31" spans="1:18" s="286" customFormat="1">
      <c r="A31" s="206" t="s">
        <v>461</v>
      </c>
      <c r="B31" s="288" t="s">
        <v>773</v>
      </c>
      <c r="C31" s="289">
        <v>42396</v>
      </c>
      <c r="D31" s="290" t="s">
        <v>460</v>
      </c>
      <c r="E31" s="291">
        <v>1344</v>
      </c>
      <c r="F31" s="292">
        <f>+E31*2.0293</f>
        <v>2727.3792000000003</v>
      </c>
      <c r="G31" s="293">
        <f>+C31+120</f>
        <v>42516</v>
      </c>
      <c r="H31" s="300"/>
      <c r="I31" s="290"/>
      <c r="J31" s="301"/>
      <c r="K31" s="304"/>
      <c r="L31" s="301"/>
      <c r="M31" s="330">
        <f t="shared" ref="M31:M37" si="4">E31-K31</f>
        <v>1344</v>
      </c>
      <c r="N31" s="287"/>
    </row>
    <row r="32" spans="1:18">
      <c r="A32" s="197" t="s">
        <v>458</v>
      </c>
      <c r="B32" s="490" t="s">
        <v>812</v>
      </c>
      <c r="C32" s="498">
        <v>42405</v>
      </c>
      <c r="D32" s="491" t="s">
        <v>419</v>
      </c>
      <c r="E32" s="492">
        <v>354482.12</v>
      </c>
      <c r="F32" s="493">
        <f>E32*2.232</f>
        <v>791204.09184000001</v>
      </c>
      <c r="G32" s="499">
        <v>42502</v>
      </c>
      <c r="H32" s="495"/>
      <c r="I32" s="491"/>
      <c r="J32" s="496"/>
      <c r="K32" s="497"/>
      <c r="L32" s="496"/>
      <c r="M32" s="500">
        <f t="shared" si="4"/>
        <v>354482.12</v>
      </c>
    </row>
    <row r="33" spans="1:14" s="286" customFormat="1">
      <c r="A33" s="206" t="s">
        <v>461</v>
      </c>
      <c r="B33" s="288" t="s">
        <v>924</v>
      </c>
      <c r="C33" s="289">
        <v>42412</v>
      </c>
      <c r="D33" s="290" t="s">
        <v>460</v>
      </c>
      <c r="E33" s="291">
        <v>110497.38</v>
      </c>
      <c r="F33" s="292">
        <f>E33*2.00195</f>
        <v>221210.229891</v>
      </c>
      <c r="G33" s="293">
        <f>C33+120</f>
        <v>42532</v>
      </c>
      <c r="H33" s="300"/>
      <c r="I33" s="290"/>
      <c r="J33" s="301"/>
      <c r="K33" s="304"/>
      <c r="L33" s="301"/>
      <c r="M33" s="330">
        <f t="shared" si="4"/>
        <v>110497.38</v>
      </c>
      <c r="N33" s="287"/>
    </row>
    <row r="34" spans="1:14">
      <c r="A34" s="197" t="s">
        <v>457</v>
      </c>
      <c r="B34" s="490" t="s">
        <v>813</v>
      </c>
      <c r="C34" s="498">
        <v>42412</v>
      </c>
      <c r="D34" s="491" t="s">
        <v>419</v>
      </c>
      <c r="E34" s="492">
        <v>52613.599999999999</v>
      </c>
      <c r="F34" s="493">
        <f>E34*2.24105</f>
        <v>117909.70827999999</v>
      </c>
      <c r="G34" s="501">
        <v>42502</v>
      </c>
      <c r="H34" s="495"/>
      <c r="I34" s="491"/>
      <c r="J34" s="496"/>
      <c r="K34" s="497"/>
      <c r="L34" s="496"/>
      <c r="M34" s="500">
        <f t="shared" si="4"/>
        <v>52613.599999999999</v>
      </c>
    </row>
    <row r="35" spans="1:14" s="286" customFormat="1">
      <c r="A35" s="206" t="s">
        <v>461</v>
      </c>
      <c r="B35" s="288" t="s">
        <v>925</v>
      </c>
      <c r="C35" s="289">
        <v>42416</v>
      </c>
      <c r="D35" s="290" t="s">
        <v>460</v>
      </c>
      <c r="E35" s="291">
        <v>3945.6</v>
      </c>
      <c r="F35" s="292">
        <f>E35*2.00195</f>
        <v>7898.8939199999995</v>
      </c>
      <c r="G35" s="508">
        <f>C35+120</f>
        <v>42536</v>
      </c>
      <c r="H35" s="300"/>
      <c r="I35" s="290"/>
      <c r="J35" s="301"/>
      <c r="K35" s="304"/>
      <c r="L35" s="301"/>
      <c r="M35" s="330">
        <f t="shared" si="4"/>
        <v>3945.6</v>
      </c>
      <c r="N35" s="287"/>
    </row>
    <row r="36" spans="1:14">
      <c r="A36" s="542" t="s">
        <v>457</v>
      </c>
      <c r="B36" s="543" t="s">
        <v>927</v>
      </c>
      <c r="C36" s="544">
        <v>42422</v>
      </c>
      <c r="D36" s="545" t="s">
        <v>419</v>
      </c>
      <c r="E36" s="546">
        <v>36924.26</v>
      </c>
      <c r="F36" s="547">
        <f>+E36*2.2214</f>
        <v>82023.551164000004</v>
      </c>
      <c r="G36" s="548">
        <f>+C36+60</f>
        <v>42482</v>
      </c>
      <c r="H36" s="549"/>
      <c r="I36" s="545"/>
      <c r="J36" s="550"/>
      <c r="K36" s="551"/>
      <c r="L36" s="550"/>
      <c r="M36" s="552">
        <f t="shared" si="4"/>
        <v>36924.26</v>
      </c>
    </row>
    <row r="37" spans="1:14" s="286" customFormat="1">
      <c r="A37" s="527" t="s">
        <v>463</v>
      </c>
      <c r="B37" s="528" t="s">
        <v>929</v>
      </c>
      <c r="C37" s="529">
        <v>42423</v>
      </c>
      <c r="D37" s="530" t="s">
        <v>460</v>
      </c>
      <c r="E37" s="531">
        <v>58754.1</v>
      </c>
      <c r="F37" s="532">
        <f>+E37*2.01295</f>
        <v>118269.06559499999</v>
      </c>
      <c r="G37" s="533">
        <f>+C37+60</f>
        <v>42483</v>
      </c>
      <c r="H37" s="534"/>
      <c r="I37" s="530"/>
      <c r="J37" s="535"/>
      <c r="K37" s="536"/>
      <c r="L37" s="535"/>
      <c r="M37" s="537">
        <f t="shared" si="4"/>
        <v>58754.1</v>
      </c>
      <c r="N37" s="287"/>
    </row>
    <row r="38" spans="1:14" ht="13.5" thickBot="1">
      <c r="A38" s="306"/>
      <c r="B38" s="294"/>
      <c r="C38" s="296"/>
      <c r="D38" s="296"/>
      <c r="E38" s="297"/>
      <c r="F38" s="298"/>
      <c r="G38" s="494"/>
      <c r="H38" s="302"/>
      <c r="I38" s="296"/>
      <c r="J38" s="303"/>
      <c r="K38" s="305"/>
      <c r="L38" s="303"/>
      <c r="M38" s="306"/>
    </row>
    <row r="39" spans="1:14">
      <c r="G39" s="252"/>
    </row>
  </sheetData>
  <sortState ref="A12:M31">
    <sortCondition ref="G11:G31"/>
  </sortState>
  <mergeCells count="10">
    <mergeCell ref="A14:A15"/>
    <mergeCell ref="B14:G14"/>
    <mergeCell ref="H14:J14"/>
    <mergeCell ref="K14:L14"/>
    <mergeCell ref="M14:M15"/>
    <mergeCell ref="B2:G2"/>
    <mergeCell ref="H2:J2"/>
    <mergeCell ref="K2:L2"/>
    <mergeCell ref="M2:M3"/>
    <mergeCell ref="A2:A3"/>
  </mergeCells>
  <pageMargins left="0.70866141732283472" right="0.70866141732283472" top="0.74803149606299213" bottom="0.74803149606299213" header="0.31496062992125984" footer="0.31496062992125984"/>
  <pageSetup paperSize="9" scale="88" orientation="landscape" horizontalDpi="180" verticalDpi="180" r:id="rId1"/>
  <ignoredErrors>
    <ignoredError sqref="G24:G25 F29 G30 G20 G23 F34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85"/>
  <sheetViews>
    <sheetView topLeftCell="A19" workbookViewId="0">
      <selection activeCell="I46" sqref="I46:J49"/>
    </sheetView>
  </sheetViews>
  <sheetFormatPr baseColWidth="10" defaultRowHeight="15"/>
  <cols>
    <col min="1" max="1" width="12.42578125" style="84" bestFit="1" customWidth="1"/>
    <col min="2" max="2" width="12.28515625" style="84" bestFit="1" customWidth="1"/>
    <col min="3" max="3" width="8.85546875" style="84" bestFit="1" customWidth="1"/>
    <col min="4" max="4" width="12.42578125" style="125" bestFit="1" customWidth="1"/>
    <col min="5" max="5" width="6.28515625" style="83" bestFit="1" customWidth="1"/>
    <col min="6" max="6" width="12.42578125" style="83" bestFit="1" customWidth="1"/>
    <col min="7" max="7" width="11" style="83" bestFit="1" customWidth="1"/>
    <col min="8" max="8" width="5.42578125" style="83" bestFit="1" customWidth="1"/>
    <col min="9" max="9" width="11.85546875" style="84" bestFit="1" customWidth="1"/>
    <col min="10" max="10" width="11" style="83" bestFit="1" customWidth="1"/>
    <col min="11" max="12" width="4.7109375" style="83" bestFit="1" customWidth="1"/>
    <col min="13" max="13" width="11.42578125" style="83"/>
    <col min="14" max="14" width="12" style="83" bestFit="1" customWidth="1"/>
    <col min="15" max="15" width="12.42578125" style="83" bestFit="1" customWidth="1"/>
    <col min="16" max="16" width="11.85546875" style="83" bestFit="1" customWidth="1"/>
    <col min="17" max="17" width="9" style="83" bestFit="1" customWidth="1"/>
    <col min="18" max="16384" width="11.42578125" style="83"/>
  </cols>
  <sheetData>
    <row r="1" spans="1:19" ht="15.75" thickBot="1"/>
    <row r="2" spans="1:19" s="361" customFormat="1" ht="15.75" thickBot="1">
      <c r="A2" s="360" t="s">
        <v>489</v>
      </c>
      <c r="B2" s="100" t="s">
        <v>758</v>
      </c>
      <c r="C2" s="100" t="s">
        <v>759</v>
      </c>
      <c r="D2" s="452" t="s">
        <v>474</v>
      </c>
      <c r="E2" s="370" t="s">
        <v>486</v>
      </c>
      <c r="F2" s="99" t="s">
        <v>485</v>
      </c>
      <c r="G2" s="98" t="s">
        <v>484</v>
      </c>
      <c r="I2" s="162"/>
    </row>
    <row r="3" spans="1:19">
      <c r="A3" s="122">
        <v>42377</v>
      </c>
      <c r="B3" s="120">
        <v>26200</v>
      </c>
      <c r="C3" s="120">
        <v>26132</v>
      </c>
      <c r="D3" s="453">
        <f>B3-C3</f>
        <v>68</v>
      </c>
      <c r="E3" s="126">
        <v>2.8530000000000002</v>
      </c>
      <c r="F3" s="126">
        <f>+B3*E3</f>
        <v>74748.600000000006</v>
      </c>
      <c r="G3" s="703" t="s">
        <v>491</v>
      </c>
      <c r="J3" s="84"/>
      <c r="N3" s="84"/>
      <c r="P3" s="84"/>
    </row>
    <row r="4" spans="1:19">
      <c r="A4" s="119">
        <v>42377</v>
      </c>
      <c r="B4" s="117">
        <v>9590</v>
      </c>
      <c r="C4" s="117">
        <v>9411</v>
      </c>
      <c r="D4" s="454">
        <f>B4-C4</f>
        <v>179</v>
      </c>
      <c r="E4" s="123">
        <v>2.8530000000000002</v>
      </c>
      <c r="F4" s="123">
        <f t="shared" ref="F4:F14" si="0">+B4*E4</f>
        <v>27360.27</v>
      </c>
      <c r="G4" s="704"/>
      <c r="J4" s="84"/>
      <c r="N4" s="84"/>
      <c r="P4" s="84"/>
    </row>
    <row r="5" spans="1:19">
      <c r="A5" s="119">
        <v>42378</v>
      </c>
      <c r="B5" s="117">
        <v>28880</v>
      </c>
      <c r="C5" s="117">
        <v>29183</v>
      </c>
      <c r="D5" s="454">
        <f t="shared" ref="D5:D14" si="1">B5-C5</f>
        <v>-303</v>
      </c>
      <c r="E5" s="123">
        <v>2.8530000000000002</v>
      </c>
      <c r="F5" s="123">
        <f t="shared" si="0"/>
        <v>82394.64</v>
      </c>
      <c r="G5" s="704"/>
      <c r="J5" s="84"/>
      <c r="N5" s="84"/>
      <c r="P5" s="84"/>
    </row>
    <row r="6" spans="1:19">
      <c r="A6" s="119">
        <v>42379</v>
      </c>
      <c r="B6" s="117">
        <v>31200</v>
      </c>
      <c r="C6" s="117">
        <v>31179</v>
      </c>
      <c r="D6" s="454">
        <f t="shared" si="1"/>
        <v>21</v>
      </c>
      <c r="E6" s="123">
        <v>2.8530000000000002</v>
      </c>
      <c r="F6" s="123">
        <f t="shared" si="0"/>
        <v>89013.6</v>
      </c>
      <c r="G6" s="705"/>
      <c r="J6" s="84"/>
      <c r="N6" s="84"/>
      <c r="P6" s="84"/>
    </row>
    <row r="7" spans="1:19">
      <c r="A7" s="119">
        <v>42381</v>
      </c>
      <c r="B7" s="117">
        <v>31540</v>
      </c>
      <c r="C7" s="117">
        <v>31738</v>
      </c>
      <c r="D7" s="454">
        <f t="shared" si="1"/>
        <v>-198</v>
      </c>
      <c r="E7" s="123">
        <v>2.8530000000000002</v>
      </c>
      <c r="F7" s="123">
        <f>+B7*E7</f>
        <v>89983.62000000001</v>
      </c>
      <c r="G7" s="706" t="s">
        <v>491</v>
      </c>
      <c r="J7" s="84"/>
      <c r="N7" s="84"/>
      <c r="P7" s="84"/>
    </row>
    <row r="8" spans="1:19">
      <c r="A8" s="119">
        <v>42382</v>
      </c>
      <c r="B8" s="117">
        <v>27680</v>
      </c>
      <c r="C8" s="117">
        <v>27935</v>
      </c>
      <c r="D8" s="454">
        <f t="shared" si="1"/>
        <v>-255</v>
      </c>
      <c r="E8" s="123">
        <v>2.8530000000000002</v>
      </c>
      <c r="F8" s="123">
        <f t="shared" si="0"/>
        <v>78971.040000000008</v>
      </c>
      <c r="G8" s="707"/>
      <c r="J8" s="84"/>
      <c r="N8" s="84"/>
      <c r="P8" s="84"/>
    </row>
    <row r="9" spans="1:19">
      <c r="A9" s="119">
        <v>42382</v>
      </c>
      <c r="B9" s="117">
        <v>29600</v>
      </c>
      <c r="C9" s="117">
        <v>29976</v>
      </c>
      <c r="D9" s="454">
        <f t="shared" si="1"/>
        <v>-376</v>
      </c>
      <c r="E9" s="123">
        <v>2.8530000000000002</v>
      </c>
      <c r="F9" s="123">
        <f t="shared" si="0"/>
        <v>84448.8</v>
      </c>
      <c r="G9" s="708"/>
      <c r="J9" s="84"/>
      <c r="N9" s="84"/>
      <c r="P9" s="84"/>
    </row>
    <row r="10" spans="1:19">
      <c r="A10" s="119">
        <v>42384</v>
      </c>
      <c r="B10" s="117">
        <v>34920</v>
      </c>
      <c r="C10" s="107">
        <v>34952</v>
      </c>
      <c r="D10" s="454">
        <f t="shared" si="1"/>
        <v>-32</v>
      </c>
      <c r="E10" s="123">
        <v>2.8530000000000002</v>
      </c>
      <c r="F10" s="123">
        <f t="shared" si="0"/>
        <v>99626.760000000009</v>
      </c>
      <c r="G10" s="383" t="s">
        <v>491</v>
      </c>
      <c r="J10" s="84"/>
      <c r="N10" s="84"/>
      <c r="P10" s="84"/>
    </row>
    <row r="11" spans="1:19">
      <c r="A11" s="119">
        <v>42386</v>
      </c>
      <c r="B11" s="117">
        <v>29860</v>
      </c>
      <c r="C11" s="117">
        <v>29985</v>
      </c>
      <c r="D11" s="454">
        <f t="shared" si="1"/>
        <v>-125</v>
      </c>
      <c r="E11" s="123">
        <v>2.8530000000000002</v>
      </c>
      <c r="F11" s="123">
        <f t="shared" si="0"/>
        <v>85190.58</v>
      </c>
      <c r="G11" s="504" t="s">
        <v>491</v>
      </c>
      <c r="J11" s="97"/>
      <c r="N11" s="84"/>
      <c r="P11" s="84"/>
    </row>
    <row r="12" spans="1:19">
      <c r="A12" s="119">
        <v>42387</v>
      </c>
      <c r="B12" s="117">
        <v>29900</v>
      </c>
      <c r="C12" s="117">
        <v>30116</v>
      </c>
      <c r="D12" s="454">
        <f t="shared" si="1"/>
        <v>-216</v>
      </c>
      <c r="E12" s="123">
        <v>2.8530000000000002</v>
      </c>
      <c r="F12" s="123">
        <f t="shared" si="0"/>
        <v>85304.700000000012</v>
      </c>
      <c r="G12" s="504" t="s">
        <v>491</v>
      </c>
      <c r="J12" s="97"/>
      <c r="N12" s="84"/>
      <c r="P12" s="84"/>
    </row>
    <row r="13" spans="1:19">
      <c r="A13" s="119">
        <v>42389</v>
      </c>
      <c r="B13" s="117">
        <v>28780</v>
      </c>
      <c r="C13" s="107">
        <v>28857</v>
      </c>
      <c r="D13" s="454">
        <f t="shared" si="1"/>
        <v>-77</v>
      </c>
      <c r="E13" s="123">
        <v>2.8530000000000002</v>
      </c>
      <c r="F13" s="123">
        <f t="shared" si="0"/>
        <v>82109.340000000011</v>
      </c>
      <c r="G13" s="504" t="s">
        <v>491</v>
      </c>
      <c r="J13" s="97"/>
      <c r="N13" s="84"/>
      <c r="P13" s="84"/>
    </row>
    <row r="14" spans="1:19" ht="15.75" thickBot="1">
      <c r="A14" s="116">
        <v>42389</v>
      </c>
      <c r="B14" s="114">
        <v>27960</v>
      </c>
      <c r="C14" s="114">
        <v>28088</v>
      </c>
      <c r="D14" s="455">
        <f t="shared" si="1"/>
        <v>-128</v>
      </c>
      <c r="E14" s="127">
        <v>2.8530000000000002</v>
      </c>
      <c r="F14" s="127">
        <f t="shared" si="0"/>
        <v>79769.88</v>
      </c>
      <c r="G14" s="505" t="s">
        <v>491</v>
      </c>
      <c r="J14" s="84"/>
      <c r="N14" s="84"/>
      <c r="P14" s="84"/>
    </row>
    <row r="15" spans="1:19" ht="15.75" thickBot="1">
      <c r="A15" s="249" t="s">
        <v>757</v>
      </c>
      <c r="B15" s="95">
        <f>SUM(B3:B14)</f>
        <v>336110</v>
      </c>
      <c r="C15" s="95">
        <f>SUM(C3:C14)</f>
        <v>337552</v>
      </c>
      <c r="D15" s="456"/>
      <c r="E15" s="91"/>
      <c r="F15" s="94">
        <f>SUM(F3:F14)</f>
        <v>958921.83000000007</v>
      </c>
      <c r="G15" s="89"/>
      <c r="J15" s="84"/>
      <c r="S15" s="84"/>
    </row>
    <row r="16" spans="1:19" ht="15.75" thickBot="1">
      <c r="A16" s="83"/>
      <c r="B16" s="85"/>
      <c r="C16" s="85"/>
      <c r="F16" s="84"/>
      <c r="J16" s="84"/>
      <c r="S16" s="84"/>
    </row>
    <row r="17" spans="1:15" ht="15.75" thickBot="1">
      <c r="A17" s="360" t="s">
        <v>489</v>
      </c>
      <c r="B17" s="100" t="s">
        <v>487</v>
      </c>
      <c r="C17" s="100"/>
      <c r="D17" s="452" t="s">
        <v>486</v>
      </c>
      <c r="E17" s="374"/>
      <c r="F17" s="99" t="s">
        <v>485</v>
      </c>
      <c r="G17" s="98" t="s">
        <v>484</v>
      </c>
      <c r="J17" s="84"/>
    </row>
    <row r="18" spans="1:15">
      <c r="A18" s="113">
        <v>42380</v>
      </c>
      <c r="B18" s="111">
        <v>4756</v>
      </c>
      <c r="C18" s="111"/>
      <c r="D18" s="457"/>
      <c r="E18" s="110">
        <v>3</v>
      </c>
      <c r="F18" s="110">
        <f>+B18*E18</f>
        <v>14268</v>
      </c>
      <c r="G18" s="141" t="s">
        <v>491</v>
      </c>
      <c r="J18" s="97"/>
    </row>
    <row r="19" spans="1:15">
      <c r="A19" s="109">
        <v>42380</v>
      </c>
      <c r="B19" s="107">
        <v>4656</v>
      </c>
      <c r="C19" s="107"/>
      <c r="D19" s="458"/>
      <c r="E19" s="106">
        <v>3</v>
      </c>
      <c r="F19" s="106">
        <f>E19*B19</f>
        <v>13968</v>
      </c>
      <c r="G19" s="139" t="s">
        <v>491</v>
      </c>
      <c r="J19" s="97"/>
    </row>
    <row r="20" spans="1:15" ht="15.75" thickBot="1">
      <c r="A20" s="104">
        <v>42394</v>
      </c>
      <c r="B20" s="102">
        <v>5024</v>
      </c>
      <c r="C20" s="102"/>
      <c r="D20" s="459"/>
      <c r="E20" s="101">
        <v>3</v>
      </c>
      <c r="F20" s="101">
        <f>B20*E20</f>
        <v>15072</v>
      </c>
      <c r="G20" s="153" t="s">
        <v>491</v>
      </c>
      <c r="J20" s="97"/>
    </row>
    <row r="21" spans="1:15" ht="15.75" thickBot="1">
      <c r="A21" s="249" t="s">
        <v>757</v>
      </c>
      <c r="B21" s="95">
        <f>SUM(B18:B20)</f>
        <v>14436</v>
      </c>
      <c r="C21" s="92"/>
      <c r="D21" s="456"/>
      <c r="E21" s="91"/>
      <c r="F21" s="94">
        <f>SUM(F18:F20)</f>
        <v>43308</v>
      </c>
      <c r="G21" s="89"/>
    </row>
    <row r="22" spans="1:15" ht="15.75" thickBot="1">
      <c r="I22" s="83"/>
    </row>
    <row r="23" spans="1:15" ht="15.75" thickBot="1">
      <c r="A23" s="375" t="s">
        <v>489</v>
      </c>
      <c r="B23" s="100" t="s">
        <v>758</v>
      </c>
      <c r="C23" s="100" t="s">
        <v>759</v>
      </c>
      <c r="D23" s="452" t="s">
        <v>474</v>
      </c>
      <c r="E23" s="385" t="s">
        <v>486</v>
      </c>
      <c r="F23" s="99" t="s">
        <v>485</v>
      </c>
      <c r="G23" s="98" t="s">
        <v>484</v>
      </c>
      <c r="J23" s="84"/>
    </row>
    <row r="24" spans="1:15">
      <c r="A24" s="113">
        <v>42401</v>
      </c>
      <c r="B24" s="111">
        <v>33720</v>
      </c>
      <c r="C24" s="111">
        <v>33999</v>
      </c>
      <c r="D24" s="453">
        <f>+B24-C24</f>
        <v>-279</v>
      </c>
      <c r="E24" s="110">
        <v>3.0350000000000001</v>
      </c>
      <c r="F24" s="110">
        <f>+E24*B24</f>
        <v>102340.20000000001</v>
      </c>
      <c r="G24" s="358"/>
      <c r="J24" s="84"/>
    </row>
    <row r="25" spans="1:15">
      <c r="A25" s="109">
        <v>42410</v>
      </c>
      <c r="B25" s="107">
        <v>31800</v>
      </c>
      <c r="C25" s="107">
        <v>32016</v>
      </c>
      <c r="D25" s="454">
        <f>B25-C25</f>
        <v>-216</v>
      </c>
      <c r="E25" s="106">
        <v>3.0350000000000001</v>
      </c>
      <c r="F25" s="106">
        <f t="shared" ref="F25:F29" si="2">+E25*B25</f>
        <v>96513</v>
      </c>
      <c r="G25" s="105"/>
      <c r="J25" s="84"/>
    </row>
    <row r="26" spans="1:15">
      <c r="A26" s="109">
        <v>42415</v>
      </c>
      <c r="B26" s="107">
        <v>30580</v>
      </c>
      <c r="C26" s="107">
        <v>30872</v>
      </c>
      <c r="D26" s="454">
        <f t="shared" ref="D26:D30" si="3">B26-C26</f>
        <v>-292</v>
      </c>
      <c r="E26" s="106">
        <v>3.0350000000000001</v>
      </c>
      <c r="F26" s="106">
        <f t="shared" si="2"/>
        <v>92810.3</v>
      </c>
      <c r="G26" s="105"/>
      <c r="J26" s="84"/>
    </row>
    <row r="27" spans="1:15">
      <c r="A27" s="109">
        <v>42415</v>
      </c>
      <c r="B27" s="107">
        <v>23260</v>
      </c>
      <c r="C27" s="107">
        <v>23466</v>
      </c>
      <c r="D27" s="454">
        <f t="shared" si="3"/>
        <v>-206</v>
      </c>
      <c r="E27" s="106">
        <v>3.0350000000000001</v>
      </c>
      <c r="F27" s="106">
        <f t="shared" si="2"/>
        <v>70594.100000000006</v>
      </c>
      <c r="G27" s="105"/>
      <c r="J27" s="84"/>
    </row>
    <row r="28" spans="1:15">
      <c r="A28" s="109">
        <v>42415</v>
      </c>
      <c r="B28" s="107">
        <v>34780</v>
      </c>
      <c r="C28" s="107">
        <v>34545</v>
      </c>
      <c r="D28" s="454">
        <f t="shared" si="3"/>
        <v>235</v>
      </c>
      <c r="E28" s="106">
        <v>3.0350000000000001</v>
      </c>
      <c r="F28" s="106">
        <f t="shared" si="2"/>
        <v>105557.3</v>
      </c>
      <c r="G28" s="105"/>
      <c r="J28" s="84"/>
    </row>
    <row r="29" spans="1:15">
      <c r="A29" s="109">
        <v>42422</v>
      </c>
      <c r="B29" s="107">
        <v>26820</v>
      </c>
      <c r="C29" s="107">
        <v>27032</v>
      </c>
      <c r="D29" s="454">
        <f t="shared" si="3"/>
        <v>-212</v>
      </c>
      <c r="E29" s="106">
        <v>3.0350000000000001</v>
      </c>
      <c r="F29" s="106">
        <f t="shared" si="2"/>
        <v>81398.7</v>
      </c>
      <c r="G29" s="105"/>
      <c r="J29" s="84"/>
    </row>
    <row r="30" spans="1:15">
      <c r="A30" s="109">
        <v>42428</v>
      </c>
      <c r="B30" s="107">
        <v>33640</v>
      </c>
      <c r="C30" s="107">
        <v>32944</v>
      </c>
      <c r="D30" s="454">
        <f t="shared" si="3"/>
        <v>696</v>
      </c>
      <c r="E30" s="106">
        <v>3.0350000000000001</v>
      </c>
      <c r="F30" s="106">
        <f>+E30*C30</f>
        <v>99985.040000000008</v>
      </c>
      <c r="G30" s="105"/>
      <c r="J30" s="84"/>
    </row>
    <row r="31" spans="1:15">
      <c r="A31" s="119">
        <v>42391</v>
      </c>
      <c r="B31" s="376">
        <v>37300</v>
      </c>
      <c r="C31" s="107">
        <v>37287</v>
      </c>
      <c r="D31" s="454">
        <f>B31-C31</f>
        <v>13</v>
      </c>
      <c r="E31" s="123">
        <v>3.0350000000000001</v>
      </c>
      <c r="F31" s="123">
        <f>+B31*E31</f>
        <v>113205.5</v>
      </c>
      <c r="G31" s="538"/>
      <c r="I31" s="83"/>
      <c r="O31" s="84"/>
    </row>
    <row r="32" spans="1:15">
      <c r="A32" s="119">
        <v>42391</v>
      </c>
      <c r="B32" s="376">
        <v>41740</v>
      </c>
      <c r="C32" s="107">
        <v>42114</v>
      </c>
      <c r="D32" s="454">
        <f>B32-C32</f>
        <v>-374</v>
      </c>
      <c r="E32" s="123">
        <v>3.0350000000000001</v>
      </c>
      <c r="F32" s="123">
        <f>+B32*E32</f>
        <v>126680.90000000001</v>
      </c>
      <c r="G32" s="538"/>
      <c r="I32" s="83"/>
      <c r="O32" s="84"/>
    </row>
    <row r="33" spans="1:10" ht="15.75" thickBot="1">
      <c r="A33" s="116">
        <v>42394</v>
      </c>
      <c r="B33" s="382">
        <v>24800</v>
      </c>
      <c r="C33" s="102">
        <v>24856</v>
      </c>
      <c r="D33" s="455">
        <f>B33-C33</f>
        <v>-56</v>
      </c>
      <c r="E33" s="127">
        <v>3.0350000000000001</v>
      </c>
      <c r="F33" s="127">
        <f>+B33*E33</f>
        <v>75268</v>
      </c>
      <c r="G33" s="539"/>
      <c r="I33" s="83"/>
    </row>
    <row r="34" spans="1:10" ht="15.75" thickBot="1">
      <c r="A34" s="249" t="s">
        <v>769</v>
      </c>
      <c r="B34" s="95">
        <f>SUM(B24:B33)</f>
        <v>318440</v>
      </c>
      <c r="C34" s="92"/>
      <c r="D34" s="456"/>
      <c r="E34" s="91"/>
      <c r="F34" s="94">
        <f>SUM(F24:F33)</f>
        <v>964353.04</v>
      </c>
      <c r="G34" s="89"/>
    </row>
    <row r="35" spans="1:10" ht="15.75" thickBot="1">
      <c r="I35" s="83"/>
    </row>
    <row r="36" spans="1:10" ht="15.75" thickBot="1">
      <c r="A36" s="540" t="s">
        <v>489</v>
      </c>
      <c r="B36" s="100" t="s">
        <v>487</v>
      </c>
      <c r="C36" s="100"/>
      <c r="D36" s="452" t="s">
        <v>486</v>
      </c>
      <c r="E36" s="541"/>
      <c r="F36" s="99" t="s">
        <v>485</v>
      </c>
      <c r="G36" s="98" t="s">
        <v>484</v>
      </c>
      <c r="J36" s="84"/>
    </row>
    <row r="37" spans="1:10">
      <c r="A37" s="113">
        <v>42410</v>
      </c>
      <c r="B37" s="111">
        <v>4710</v>
      </c>
      <c r="C37" s="111"/>
      <c r="D37" s="457"/>
      <c r="E37" s="110">
        <v>3.25</v>
      </c>
      <c r="F37" s="110">
        <f>+B37*E37</f>
        <v>15307.5</v>
      </c>
      <c r="G37" s="141"/>
      <c r="J37" s="97"/>
    </row>
    <row r="38" spans="1:10" ht="15.75" thickBot="1">
      <c r="A38" s="104">
        <v>42426</v>
      </c>
      <c r="B38" s="102">
        <v>5263</v>
      </c>
      <c r="C38" s="102"/>
      <c r="D38" s="459"/>
      <c r="E38" s="101">
        <v>3.25</v>
      </c>
      <c r="F38" s="101">
        <f>E38*B38</f>
        <v>17104.75</v>
      </c>
      <c r="G38" s="153"/>
      <c r="J38" s="97"/>
    </row>
    <row r="39" spans="1:10" ht="15.75" thickBot="1">
      <c r="A39" s="249" t="s">
        <v>769</v>
      </c>
      <c r="B39" s="95">
        <f>SUM(B37:B38)</f>
        <v>9973</v>
      </c>
      <c r="C39" s="92"/>
      <c r="D39" s="456"/>
      <c r="E39" s="91"/>
      <c r="F39" s="94">
        <f>SUM(F37:F38)</f>
        <v>32412.25</v>
      </c>
      <c r="G39" s="89"/>
    </row>
    <row r="40" spans="1:10">
      <c r="I40" s="83"/>
    </row>
    <row r="41" spans="1:10" ht="15.75" thickBot="1"/>
    <row r="42" spans="1:10" ht="15.75" thickBot="1">
      <c r="A42" s="709" t="s">
        <v>777</v>
      </c>
      <c r="B42" s="710"/>
      <c r="C42" s="710"/>
      <c r="D42" s="710"/>
      <c r="E42" s="710"/>
      <c r="F42" s="710"/>
      <c r="G42" s="711"/>
      <c r="I42" s="86"/>
      <c r="J42" s="481"/>
    </row>
    <row r="43" spans="1:10" ht="15.75" thickBot="1">
      <c r="A43" s="384" t="s">
        <v>489</v>
      </c>
      <c r="B43" s="100" t="s">
        <v>758</v>
      </c>
      <c r="C43" s="100" t="s">
        <v>759</v>
      </c>
      <c r="D43" s="452" t="s">
        <v>474</v>
      </c>
      <c r="E43" s="385" t="s">
        <v>486</v>
      </c>
      <c r="F43" s="99" t="s">
        <v>485</v>
      </c>
      <c r="G43" s="98" t="s">
        <v>484</v>
      </c>
      <c r="I43" s="83"/>
    </row>
    <row r="44" spans="1:10">
      <c r="A44" s="119">
        <v>42395</v>
      </c>
      <c r="B44" s="376">
        <v>35960</v>
      </c>
      <c r="C44" s="117">
        <v>35862</v>
      </c>
      <c r="D44" s="454">
        <f t="shared" ref="D44:D47" si="4">B44-C44</f>
        <v>98</v>
      </c>
      <c r="E44" s="123"/>
      <c r="F44" s="123">
        <f>+B44*E44</f>
        <v>0</v>
      </c>
      <c r="G44" s="372"/>
      <c r="I44" s="83"/>
    </row>
    <row r="45" spans="1:10" ht="15.75" thickBot="1">
      <c r="A45" s="119">
        <v>42397</v>
      </c>
      <c r="B45" s="376">
        <v>30800</v>
      </c>
      <c r="C45" s="107">
        <v>31024</v>
      </c>
      <c r="D45" s="454">
        <f t="shared" si="4"/>
        <v>-224</v>
      </c>
      <c r="E45" s="123"/>
      <c r="F45" s="123">
        <f>+B45*E45</f>
        <v>0</v>
      </c>
      <c r="G45" s="372"/>
      <c r="I45" s="702"/>
      <c r="J45" s="702"/>
    </row>
    <row r="46" spans="1:10">
      <c r="A46" s="119">
        <v>42398</v>
      </c>
      <c r="B46" s="376">
        <v>28900</v>
      </c>
      <c r="C46" s="107">
        <v>29168</v>
      </c>
      <c r="D46" s="454">
        <f t="shared" si="4"/>
        <v>-268</v>
      </c>
      <c r="E46" s="123"/>
      <c r="F46" s="123">
        <f t="shared" ref="F46" si="5">+B46*E46</f>
        <v>0</v>
      </c>
      <c r="G46" s="372"/>
      <c r="I46" s="483" t="s">
        <v>941</v>
      </c>
      <c r="J46" s="484">
        <v>1806.93</v>
      </c>
    </row>
    <row r="47" spans="1:10" ht="15.75" thickBot="1">
      <c r="A47" s="116">
        <v>42399</v>
      </c>
      <c r="B47" s="382">
        <v>29200</v>
      </c>
      <c r="C47" s="102">
        <v>29469</v>
      </c>
      <c r="D47" s="455">
        <f t="shared" si="4"/>
        <v>-269</v>
      </c>
      <c r="E47" s="127"/>
      <c r="F47" s="127">
        <f>+E47*B47</f>
        <v>0</v>
      </c>
      <c r="G47" s="373"/>
      <c r="I47" s="485" t="s">
        <v>942</v>
      </c>
      <c r="J47" s="486">
        <v>2.0206200000000001</v>
      </c>
    </row>
    <row r="48" spans="1:10">
      <c r="I48" s="485" t="s">
        <v>756</v>
      </c>
      <c r="J48" s="487">
        <f>J46*J47</f>
        <v>3651.1188966000004</v>
      </c>
    </row>
    <row r="49" spans="1:12" ht="15.75" thickBot="1">
      <c r="A49" s="83"/>
      <c r="B49" s="93" t="s">
        <v>753</v>
      </c>
      <c r="C49" s="92">
        <f>+B15+B21+B34+B39</f>
        <v>678959</v>
      </c>
      <c r="D49" s="91"/>
      <c r="F49" s="90">
        <f>F15+F21+F34+F39</f>
        <v>1998995.12</v>
      </c>
      <c r="G49" s="87">
        <f>+F49/C49</f>
        <v>2.9442059387974826</v>
      </c>
      <c r="I49" s="488">
        <v>0.85</v>
      </c>
      <c r="J49" s="489">
        <f>J48*0.85</f>
        <v>3103.4510621100003</v>
      </c>
    </row>
    <row r="50" spans="1:12">
      <c r="A50" s="83"/>
      <c r="B50" s="93" t="s">
        <v>436</v>
      </c>
      <c r="C50" s="92">
        <f>HAZEM!I159</f>
        <v>3495828</v>
      </c>
      <c r="D50" s="91"/>
      <c r="F50" s="90">
        <f>HAZEM!K159</f>
        <v>9919137.8000000007</v>
      </c>
      <c r="G50" s="87">
        <f>+F50/C50</f>
        <v>2.8374215779494874</v>
      </c>
      <c r="J50" s="84"/>
    </row>
    <row r="51" spans="1:12">
      <c r="A51" s="83"/>
      <c r="B51" s="93"/>
      <c r="C51" s="92"/>
      <c r="D51" s="91"/>
      <c r="E51" s="90"/>
      <c r="I51" s="83"/>
    </row>
    <row r="52" spans="1:12">
      <c r="A52" s="83"/>
      <c r="B52" s="450" t="s">
        <v>482</v>
      </c>
      <c r="C52" s="450"/>
      <c r="D52" s="450"/>
      <c r="E52" s="84"/>
      <c r="H52" s="377"/>
      <c r="I52" s="378"/>
    </row>
    <row r="53" spans="1:12">
      <c r="A53" s="701" t="s">
        <v>481</v>
      </c>
      <c r="B53" s="701"/>
      <c r="C53" s="450"/>
      <c r="D53" s="87">
        <f>HAZEM!K164+'HAZEM 16'!J11+'HAZEM 16'!J12+'HAZEM 16'!J13+'HAZEM 16'!J14+'HAZEM 16'!J18+'HAZEM 16'!J19+'HAZEM 16'!J20+100000</f>
        <v>1007032.5664000001</v>
      </c>
      <c r="H53" s="377" t="s">
        <v>756</v>
      </c>
      <c r="I53" s="377"/>
      <c r="L53" s="369"/>
    </row>
    <row r="54" spans="1:12">
      <c r="A54" s="701" t="s">
        <v>612</v>
      </c>
      <c r="B54" s="701"/>
      <c r="C54" s="450"/>
      <c r="D54" s="87">
        <f>+B55+B56</f>
        <v>0</v>
      </c>
      <c r="H54" s="380">
        <v>0.85</v>
      </c>
      <c r="I54" s="381"/>
    </row>
    <row r="55" spans="1:12">
      <c r="A55" s="450" t="s">
        <v>432</v>
      </c>
      <c r="B55" s="88"/>
      <c r="C55" s="450"/>
      <c r="D55" s="87"/>
      <c r="H55" s="377"/>
      <c r="I55" s="378"/>
    </row>
    <row r="56" spans="1:12">
      <c r="A56" s="450" t="s">
        <v>430</v>
      </c>
      <c r="B56" s="88">
        <v>0</v>
      </c>
      <c r="C56" s="450"/>
      <c r="D56" s="87"/>
      <c r="H56" s="84"/>
      <c r="I56" s="83"/>
    </row>
    <row r="57" spans="1:12">
      <c r="A57" s="451" t="s">
        <v>480</v>
      </c>
      <c r="B57" s="451"/>
      <c r="C57" s="451"/>
      <c r="D57" s="87">
        <f>D53-D54</f>
        <v>1007032.5664000001</v>
      </c>
      <c r="H57" s="84"/>
      <c r="I57" s="83"/>
    </row>
    <row r="58" spans="1:12">
      <c r="A58" s="83"/>
      <c r="B58" s="83"/>
      <c r="D58" s="83"/>
      <c r="I58" s="83"/>
    </row>
    <row r="59" spans="1:12">
      <c r="A59" s="83"/>
      <c r="B59" s="83"/>
      <c r="D59" s="83"/>
      <c r="I59" s="83"/>
    </row>
    <row r="60" spans="1:12">
      <c r="A60" s="83"/>
      <c r="B60" s="83"/>
      <c r="D60" s="83"/>
      <c r="I60" s="83"/>
    </row>
    <row r="81" spans="1:3">
      <c r="A81" s="86"/>
    </row>
    <row r="82" spans="1:3">
      <c r="A82" s="86"/>
    </row>
    <row r="83" spans="1:3">
      <c r="A83" s="86"/>
      <c r="B83" s="83"/>
      <c r="C83" s="83"/>
    </row>
    <row r="84" spans="1:3">
      <c r="A84" s="86"/>
      <c r="B84" s="83"/>
      <c r="C84" s="83"/>
    </row>
    <row r="85" spans="1:3">
      <c r="A85" s="86"/>
    </row>
  </sheetData>
  <mergeCells count="6">
    <mergeCell ref="A53:B53"/>
    <mergeCell ref="A54:B54"/>
    <mergeCell ref="I45:J45"/>
    <mergeCell ref="G3:G6"/>
    <mergeCell ref="G7:G9"/>
    <mergeCell ref="A42:G42"/>
  </mergeCells>
  <pageMargins left="0.39370078740157483" right="0.39370078740157483" top="0.26" bottom="0.18" header="0.19" footer="0.17"/>
  <pageSetup paperSize="9" fitToHeight="2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T213"/>
  <sheetViews>
    <sheetView topLeftCell="A16" workbookViewId="0">
      <selection activeCell="H29" sqref="H29:L40"/>
    </sheetView>
  </sheetViews>
  <sheetFormatPr baseColWidth="10" defaultRowHeight="15"/>
  <cols>
    <col min="1" max="2" width="11.42578125" style="83"/>
    <col min="3" max="3" width="11.42578125" style="85"/>
    <col min="4" max="4" width="11.42578125" style="83"/>
    <col min="5" max="5" width="14.42578125" style="84" customWidth="1"/>
    <col min="6" max="6" width="11.42578125" style="83"/>
    <col min="7" max="7" width="3" style="83" customWidth="1"/>
    <col min="8" max="8" width="13.85546875" style="84" bestFit="1" customWidth="1"/>
    <col min="9" max="9" width="12.42578125" style="84" bestFit="1" customWidth="1"/>
    <col min="10" max="10" width="11.42578125" style="83"/>
    <col min="11" max="11" width="12.42578125" style="83" bestFit="1" customWidth="1"/>
    <col min="12" max="12" width="11.42578125" style="83"/>
    <col min="13" max="13" width="7.42578125" style="83" customWidth="1"/>
    <col min="14" max="14" width="12.42578125" style="84" bestFit="1" customWidth="1"/>
    <col min="15" max="15" width="13.42578125" style="83" bestFit="1" customWidth="1"/>
    <col min="16" max="17" width="4.7109375" style="83" bestFit="1" customWidth="1"/>
    <col min="18" max="16384" width="11.42578125" style="83"/>
  </cols>
  <sheetData>
    <row r="1" spans="1:15" s="89" customFormat="1">
      <c r="A1" s="714" t="s">
        <v>510</v>
      </c>
      <c r="B1" s="714"/>
      <c r="C1" s="91"/>
      <c r="E1" s="87">
        <v>212438.16</v>
      </c>
      <c r="F1" s="89" t="s">
        <v>491</v>
      </c>
      <c r="H1" s="87"/>
      <c r="I1" s="87"/>
      <c r="N1" s="87"/>
    </row>
    <row r="2" spans="1:15" ht="15.75" thickBot="1"/>
    <row r="3" spans="1:15" s="248" customFormat="1" ht="15.75" thickBot="1">
      <c r="A3" s="242" t="s">
        <v>489</v>
      </c>
      <c r="B3" s="243" t="s">
        <v>488</v>
      </c>
      <c r="C3" s="100" t="s">
        <v>487</v>
      </c>
      <c r="D3" s="243" t="s">
        <v>486</v>
      </c>
      <c r="E3" s="99" t="s">
        <v>485</v>
      </c>
      <c r="F3" s="98" t="s">
        <v>484</v>
      </c>
      <c r="H3" s="242" t="s">
        <v>489</v>
      </c>
      <c r="I3" s="100" t="s">
        <v>487</v>
      </c>
      <c r="J3" s="243" t="s">
        <v>486</v>
      </c>
      <c r="K3" s="99" t="s">
        <v>485</v>
      </c>
      <c r="L3" s="98" t="s">
        <v>484</v>
      </c>
      <c r="N3" s="162"/>
    </row>
    <row r="4" spans="1:15">
      <c r="A4" s="122">
        <v>41645</v>
      </c>
      <c r="B4" s="121">
        <v>2174</v>
      </c>
      <c r="C4" s="120">
        <v>33060</v>
      </c>
      <c r="D4" s="715">
        <v>2.95</v>
      </c>
      <c r="E4" s="715">
        <f>+D4*(C4+C5)</f>
        <v>203196</v>
      </c>
      <c r="F4" s="717" t="s">
        <v>491</v>
      </c>
      <c r="H4" s="122">
        <v>42025</v>
      </c>
      <c r="I4" s="120">
        <v>27420</v>
      </c>
      <c r="J4" s="126">
        <v>2.95</v>
      </c>
      <c r="K4" s="126">
        <f>J4*I4</f>
        <v>80889</v>
      </c>
      <c r="L4" s="245" t="s">
        <v>491</v>
      </c>
    </row>
    <row r="5" spans="1:15" ht="15.75" thickBot="1">
      <c r="A5" s="119">
        <v>41643</v>
      </c>
      <c r="B5" s="118">
        <v>2173</v>
      </c>
      <c r="C5" s="117">
        <v>35820</v>
      </c>
      <c r="D5" s="716"/>
      <c r="E5" s="716"/>
      <c r="F5" s="718"/>
      <c r="H5" s="116">
        <v>42026</v>
      </c>
      <c r="I5" s="114">
        <v>28320</v>
      </c>
      <c r="J5" s="127">
        <v>2.95</v>
      </c>
      <c r="K5" s="127">
        <f>J5*I5</f>
        <v>83544</v>
      </c>
      <c r="L5" s="247" t="s">
        <v>491</v>
      </c>
    </row>
    <row r="6" spans="1:15" ht="15.75" thickBot="1">
      <c r="A6" s="119">
        <v>41646</v>
      </c>
      <c r="B6" s="118">
        <v>2177</v>
      </c>
      <c r="C6" s="117">
        <v>32880</v>
      </c>
      <c r="D6" s="716">
        <v>2.95</v>
      </c>
      <c r="E6" s="716">
        <f>+D6*(C6+C7)</f>
        <v>188328</v>
      </c>
      <c r="F6" s="718" t="s">
        <v>491</v>
      </c>
      <c r="H6" s="238" t="s">
        <v>509</v>
      </c>
      <c r="I6" s="95">
        <f>SUM(I4:I5)</f>
        <v>55740</v>
      </c>
      <c r="J6" s="91"/>
      <c r="K6" s="94">
        <f>SUM(K4:K5)</f>
        <v>164433</v>
      </c>
      <c r="L6" s="89"/>
    </row>
    <row r="7" spans="1:15" ht="15.75" thickBot="1">
      <c r="A7" s="119">
        <v>41648</v>
      </c>
      <c r="B7" s="118">
        <v>2181</v>
      </c>
      <c r="C7" s="117">
        <v>30960</v>
      </c>
      <c r="D7" s="716"/>
      <c r="E7" s="716"/>
      <c r="F7" s="718"/>
      <c r="H7" s="83"/>
      <c r="I7" s="85"/>
      <c r="K7" s="84"/>
    </row>
    <row r="8" spans="1:15" ht="15.75" thickBot="1">
      <c r="A8" s="119">
        <v>41656</v>
      </c>
      <c r="B8" s="118">
        <v>2189</v>
      </c>
      <c r="C8" s="117">
        <v>32640</v>
      </c>
      <c r="D8" s="716">
        <v>2.95</v>
      </c>
      <c r="E8" s="716">
        <f>+D8*(C8+C9)</f>
        <v>214524</v>
      </c>
      <c r="F8" s="718" t="s">
        <v>491</v>
      </c>
      <c r="H8" s="242" t="s">
        <v>489</v>
      </c>
      <c r="I8" s="100" t="s">
        <v>487</v>
      </c>
      <c r="J8" s="243" t="s">
        <v>486</v>
      </c>
      <c r="K8" s="99" t="s">
        <v>485</v>
      </c>
      <c r="L8" s="98" t="s">
        <v>484</v>
      </c>
    </row>
    <row r="9" spans="1:15">
      <c r="A9" s="119">
        <v>41655</v>
      </c>
      <c r="B9" s="118">
        <v>2188</v>
      </c>
      <c r="C9" s="117">
        <v>40080</v>
      </c>
      <c r="D9" s="716"/>
      <c r="E9" s="716"/>
      <c r="F9" s="718"/>
      <c r="H9" s="122">
        <v>42054</v>
      </c>
      <c r="I9" s="120">
        <v>10328</v>
      </c>
      <c r="J9" s="126">
        <v>3.1</v>
      </c>
      <c r="K9" s="126">
        <f>J9*I9</f>
        <v>32016.799999999999</v>
      </c>
      <c r="L9" s="245" t="s">
        <v>491</v>
      </c>
    </row>
    <row r="10" spans="1:15">
      <c r="A10" s="119">
        <v>41659</v>
      </c>
      <c r="B10" s="118">
        <v>2196</v>
      </c>
      <c r="C10" s="117">
        <v>38880</v>
      </c>
      <c r="D10" s="716">
        <v>2.95</v>
      </c>
      <c r="E10" s="716">
        <f>+D10*(C10+C11)</f>
        <v>211810</v>
      </c>
      <c r="F10" s="718" t="s">
        <v>491</v>
      </c>
      <c r="H10" s="119">
        <v>42060</v>
      </c>
      <c r="I10" s="117">
        <v>37120</v>
      </c>
      <c r="J10" s="123">
        <v>3.05</v>
      </c>
      <c r="K10" s="123">
        <f>J10*I10</f>
        <v>113216</v>
      </c>
      <c r="L10" s="241" t="s">
        <v>491</v>
      </c>
    </row>
    <row r="11" spans="1:15" ht="15.75" thickBot="1">
      <c r="A11" s="119">
        <v>41660</v>
      </c>
      <c r="B11" s="118">
        <v>2199</v>
      </c>
      <c r="C11" s="117">
        <v>32920</v>
      </c>
      <c r="D11" s="716"/>
      <c r="E11" s="716"/>
      <c r="F11" s="718"/>
      <c r="H11" s="116">
        <v>42063</v>
      </c>
      <c r="I11" s="114">
        <v>27140</v>
      </c>
      <c r="J11" s="127">
        <v>3.05</v>
      </c>
      <c r="K11" s="127">
        <f>J11*I11</f>
        <v>82777</v>
      </c>
      <c r="L11" s="247" t="s">
        <v>491</v>
      </c>
    </row>
    <row r="12" spans="1:15" ht="15.75" thickBot="1">
      <c r="A12" s="119">
        <v>41661</v>
      </c>
      <c r="B12" s="118">
        <v>2200</v>
      </c>
      <c r="C12" s="117">
        <v>30240</v>
      </c>
      <c r="D12" s="716">
        <v>2.93</v>
      </c>
      <c r="E12" s="716">
        <f>+D12*(C12+C13)</f>
        <v>191211.80000000002</v>
      </c>
      <c r="F12" s="718" t="s">
        <v>491</v>
      </c>
      <c r="H12" s="238" t="s">
        <v>508</v>
      </c>
      <c r="I12" s="95">
        <f>SUM(I9:I11)</f>
        <v>74588</v>
      </c>
      <c r="J12" s="91"/>
      <c r="K12" s="94">
        <f>SUM(K9:K11)</f>
        <v>228009.8</v>
      </c>
      <c r="L12" s="89"/>
    </row>
    <row r="13" spans="1:15" ht="15.75" thickBot="1">
      <c r="A13" s="119">
        <v>41666</v>
      </c>
      <c r="B13" s="118">
        <v>2956</v>
      </c>
      <c r="C13" s="117">
        <v>35020</v>
      </c>
      <c r="D13" s="716"/>
      <c r="E13" s="716"/>
      <c r="F13" s="718"/>
      <c r="H13" s="83"/>
      <c r="I13" s="85"/>
      <c r="K13" s="84"/>
    </row>
    <row r="14" spans="1:15" ht="15.75" thickBot="1">
      <c r="A14" s="119">
        <v>41667</v>
      </c>
      <c r="B14" s="118">
        <v>2958</v>
      </c>
      <c r="C14" s="117">
        <v>34860</v>
      </c>
      <c r="D14" s="716">
        <v>2.93</v>
      </c>
      <c r="E14" s="716">
        <f>+D14*(C14+C15)</f>
        <v>207502.6</v>
      </c>
      <c r="F14" s="718" t="s">
        <v>491</v>
      </c>
      <c r="H14" s="242" t="s">
        <v>489</v>
      </c>
      <c r="I14" s="100" t="s">
        <v>487</v>
      </c>
      <c r="J14" s="243" t="s">
        <v>486</v>
      </c>
      <c r="K14" s="99" t="s">
        <v>485</v>
      </c>
      <c r="L14" s="98" t="s">
        <v>484</v>
      </c>
    </row>
    <row r="15" spans="1:15" ht="15.75" thickBot="1">
      <c r="A15" s="116">
        <v>41670</v>
      </c>
      <c r="B15" s="115">
        <v>2964</v>
      </c>
      <c r="C15" s="114">
        <v>35960</v>
      </c>
      <c r="D15" s="719"/>
      <c r="E15" s="719"/>
      <c r="F15" s="720"/>
      <c r="H15" s="122">
        <v>42072</v>
      </c>
      <c r="I15" s="120">
        <v>28280</v>
      </c>
      <c r="J15" s="126">
        <v>3.05</v>
      </c>
      <c r="K15" s="126">
        <f>I15*J15</f>
        <v>86254</v>
      </c>
      <c r="L15" s="245" t="s">
        <v>491</v>
      </c>
      <c r="O15" s="84"/>
    </row>
    <row r="16" spans="1:15" ht="15.75" thickBot="1">
      <c r="A16" s="721" t="s">
        <v>507</v>
      </c>
      <c r="B16" s="722"/>
      <c r="C16" s="157">
        <f>SUM(C4:C15)</f>
        <v>413320</v>
      </c>
      <c r="D16" s="91"/>
      <c r="E16" s="156">
        <f>SUM(E4:E15)</f>
        <v>1216572.4000000001</v>
      </c>
      <c r="F16" s="89"/>
      <c r="H16" s="119">
        <v>42077</v>
      </c>
      <c r="I16" s="117">
        <v>18300</v>
      </c>
      <c r="J16" s="123">
        <v>3.05</v>
      </c>
      <c r="K16" s="123">
        <f t="shared" ref="K16:K22" si="0">J16*I16</f>
        <v>55815</v>
      </c>
      <c r="L16" s="241" t="s">
        <v>491</v>
      </c>
      <c r="O16" s="84"/>
    </row>
    <row r="17" spans="1:15" ht="15.75" thickBot="1">
      <c r="H17" s="119">
        <v>42080</v>
      </c>
      <c r="I17" s="117">
        <v>20080</v>
      </c>
      <c r="J17" s="123">
        <v>3.05</v>
      </c>
      <c r="K17" s="123">
        <f t="shared" si="0"/>
        <v>61244</v>
      </c>
      <c r="L17" s="241" t="s">
        <v>491</v>
      </c>
      <c r="O17" s="84"/>
    </row>
    <row r="18" spans="1:15" ht="15.75" thickBot="1">
      <c r="A18" s="242" t="s">
        <v>489</v>
      </c>
      <c r="B18" s="243" t="s">
        <v>488</v>
      </c>
      <c r="C18" s="100" t="s">
        <v>487</v>
      </c>
      <c r="D18" s="243" t="s">
        <v>486</v>
      </c>
      <c r="E18" s="99" t="s">
        <v>485</v>
      </c>
      <c r="F18" s="98" t="s">
        <v>484</v>
      </c>
      <c r="H18" s="119">
        <v>42086</v>
      </c>
      <c r="I18" s="117">
        <v>42720</v>
      </c>
      <c r="J18" s="123">
        <v>3.05</v>
      </c>
      <c r="K18" s="123">
        <f t="shared" si="0"/>
        <v>130295.99999999999</v>
      </c>
      <c r="L18" s="241" t="s">
        <v>491</v>
      </c>
      <c r="O18" s="84"/>
    </row>
    <row r="19" spans="1:15">
      <c r="A19" s="122">
        <v>41678</v>
      </c>
      <c r="B19" s="121">
        <v>2976</v>
      </c>
      <c r="C19" s="120">
        <v>31940</v>
      </c>
      <c r="D19" s="715">
        <v>2.9</v>
      </c>
      <c r="E19" s="715">
        <f>+D19*(C19+C20)</f>
        <v>182758</v>
      </c>
      <c r="F19" s="717" t="s">
        <v>491</v>
      </c>
      <c r="H19" s="119">
        <v>42088</v>
      </c>
      <c r="I19" s="117">
        <v>32620</v>
      </c>
      <c r="J19" s="123">
        <v>3.05</v>
      </c>
      <c r="K19" s="123">
        <f t="shared" si="0"/>
        <v>99491</v>
      </c>
      <c r="L19" s="241" t="s">
        <v>491</v>
      </c>
      <c r="O19" s="84"/>
    </row>
    <row r="20" spans="1:15">
      <c r="A20" s="119">
        <v>41680</v>
      </c>
      <c r="B20" s="118">
        <v>2977</v>
      </c>
      <c r="C20" s="117">
        <v>31080</v>
      </c>
      <c r="D20" s="716"/>
      <c r="E20" s="716"/>
      <c r="F20" s="718"/>
      <c r="H20" s="119">
        <v>42089</v>
      </c>
      <c r="I20" s="117">
        <v>40420</v>
      </c>
      <c r="J20" s="123">
        <v>3.05</v>
      </c>
      <c r="K20" s="123">
        <f t="shared" si="0"/>
        <v>123281</v>
      </c>
      <c r="L20" s="241" t="s">
        <v>491</v>
      </c>
      <c r="O20" s="84"/>
    </row>
    <row r="21" spans="1:15">
      <c r="A21" s="119">
        <v>41682</v>
      </c>
      <c r="B21" s="118">
        <v>2984</v>
      </c>
      <c r="C21" s="117">
        <v>25600</v>
      </c>
      <c r="D21" s="716">
        <v>2.9</v>
      </c>
      <c r="E21" s="716">
        <f>+D21*(C21+C22)</f>
        <v>149097.69999999998</v>
      </c>
      <c r="F21" s="718" t="s">
        <v>491</v>
      </c>
      <c r="H21" s="119">
        <v>42090</v>
      </c>
      <c r="I21" s="117">
        <v>35040</v>
      </c>
      <c r="J21" s="123">
        <v>3.05</v>
      </c>
      <c r="K21" s="123">
        <f t="shared" si="0"/>
        <v>106872</v>
      </c>
      <c r="L21" s="241" t="s">
        <v>491</v>
      </c>
      <c r="O21" s="84"/>
    </row>
    <row r="22" spans="1:15" ht="15.75" thickBot="1">
      <c r="A22" s="119">
        <v>41683</v>
      </c>
      <c r="B22" s="118">
        <v>2985</v>
      </c>
      <c r="C22" s="117">
        <v>25813</v>
      </c>
      <c r="D22" s="716"/>
      <c r="E22" s="716"/>
      <c r="F22" s="718"/>
      <c r="H22" s="116">
        <v>42094</v>
      </c>
      <c r="I22" s="114">
        <v>36940</v>
      </c>
      <c r="J22" s="127">
        <v>3.05</v>
      </c>
      <c r="K22" s="127">
        <f t="shared" si="0"/>
        <v>112667</v>
      </c>
      <c r="L22" s="247" t="s">
        <v>491</v>
      </c>
      <c r="O22" s="84"/>
    </row>
    <row r="23" spans="1:15" ht="15.75" thickBot="1">
      <c r="A23" s="119">
        <v>41687</v>
      </c>
      <c r="B23" s="118">
        <v>2986</v>
      </c>
      <c r="C23" s="117">
        <v>36120</v>
      </c>
      <c r="D23" s="716">
        <v>2.9249999999999998</v>
      </c>
      <c r="E23" s="716">
        <f>+D23*(C23+C24)</f>
        <v>211126.5</v>
      </c>
      <c r="F23" s="718" t="s">
        <v>491</v>
      </c>
      <c r="H23" s="238" t="s">
        <v>505</v>
      </c>
      <c r="I23" s="95">
        <f>SUM(I15:I22)</f>
        <v>254400</v>
      </c>
      <c r="J23" s="91"/>
      <c r="K23" s="94">
        <f>SUM(K15:K22)</f>
        <v>775920</v>
      </c>
      <c r="L23" s="89"/>
      <c r="O23" s="84"/>
    </row>
    <row r="24" spans="1:15" ht="15.75" thickBot="1">
      <c r="A24" s="119">
        <v>41688</v>
      </c>
      <c r="B24" s="118">
        <v>2990</v>
      </c>
      <c r="C24" s="117">
        <v>36060</v>
      </c>
      <c r="D24" s="716"/>
      <c r="E24" s="716"/>
      <c r="F24" s="718"/>
      <c r="O24" s="84"/>
    </row>
    <row r="25" spans="1:15" ht="15.75" thickBot="1">
      <c r="A25" s="119">
        <v>41691</v>
      </c>
      <c r="B25" s="118">
        <v>2993</v>
      </c>
      <c r="C25" s="117">
        <v>36120</v>
      </c>
      <c r="D25" s="716">
        <v>2.93</v>
      </c>
      <c r="E25" s="716">
        <f>+D25*(C25+C26)</f>
        <v>208909</v>
      </c>
      <c r="F25" s="718" t="s">
        <v>491</v>
      </c>
      <c r="H25" s="242" t="s">
        <v>489</v>
      </c>
      <c r="I25" s="100" t="s">
        <v>487</v>
      </c>
      <c r="J25" s="243" t="s">
        <v>486</v>
      </c>
      <c r="K25" s="99" t="s">
        <v>485</v>
      </c>
      <c r="L25" s="98" t="s">
        <v>484</v>
      </c>
      <c r="O25" s="84"/>
    </row>
    <row r="26" spans="1:15" ht="15.75" thickBot="1">
      <c r="A26" s="119">
        <v>41695</v>
      </c>
      <c r="B26" s="118">
        <v>2851</v>
      </c>
      <c r="C26" s="117">
        <v>35180</v>
      </c>
      <c r="D26" s="716"/>
      <c r="E26" s="716"/>
      <c r="F26" s="718"/>
      <c r="H26" s="161" t="s">
        <v>506</v>
      </c>
      <c r="I26" s="160">
        <v>5808</v>
      </c>
      <c r="J26" s="159">
        <v>30</v>
      </c>
      <c r="K26" s="159">
        <f>+I26*J26</f>
        <v>174240</v>
      </c>
      <c r="L26" s="158" t="s">
        <v>491</v>
      </c>
      <c r="O26" s="84"/>
    </row>
    <row r="27" spans="1:15" ht="15.75" thickBot="1">
      <c r="A27" s="119">
        <v>41696</v>
      </c>
      <c r="B27" s="118">
        <v>2854</v>
      </c>
      <c r="C27" s="117">
        <v>34820</v>
      </c>
      <c r="D27" s="716">
        <v>2.93</v>
      </c>
      <c r="E27" s="716">
        <f>+D27*(C27+C28)</f>
        <v>165427.80000000002</v>
      </c>
      <c r="F27" s="718" t="s">
        <v>491</v>
      </c>
      <c r="H27" s="238" t="s">
        <v>505</v>
      </c>
      <c r="I27" s="95">
        <f>SUM(I26:I26)</f>
        <v>5808</v>
      </c>
      <c r="J27" s="91"/>
      <c r="K27" s="94">
        <f>SUM(K26:K26)</f>
        <v>174240</v>
      </c>
      <c r="L27" s="89"/>
      <c r="O27" s="84"/>
    </row>
    <row r="28" spans="1:15" ht="15.75" thickBot="1">
      <c r="A28" s="116">
        <v>41697</v>
      </c>
      <c r="B28" s="115">
        <v>2860</v>
      </c>
      <c r="C28" s="114">
        <v>21640</v>
      </c>
      <c r="D28" s="719"/>
      <c r="E28" s="719"/>
      <c r="F28" s="720"/>
      <c r="O28" s="84"/>
    </row>
    <row r="29" spans="1:15" ht="15.75" thickBot="1">
      <c r="A29" s="721" t="s">
        <v>504</v>
      </c>
      <c r="B29" s="722"/>
      <c r="C29" s="157">
        <f>SUM(C19:C28)</f>
        <v>314373</v>
      </c>
      <c r="D29" s="91"/>
      <c r="E29" s="156">
        <f>SUM(E19:E24)</f>
        <v>542982.19999999995</v>
      </c>
      <c r="F29" s="89"/>
      <c r="H29" s="242" t="s">
        <v>489</v>
      </c>
      <c r="I29" s="100" t="s">
        <v>487</v>
      </c>
      <c r="J29" s="243" t="s">
        <v>486</v>
      </c>
      <c r="K29" s="99" t="s">
        <v>485</v>
      </c>
      <c r="L29" s="98" t="s">
        <v>484</v>
      </c>
      <c r="O29" s="84"/>
    </row>
    <row r="30" spans="1:15" ht="15.75" thickBot="1">
      <c r="H30" s="122">
        <v>42096</v>
      </c>
      <c r="I30" s="120">
        <v>36000</v>
      </c>
      <c r="J30" s="126">
        <v>3.05</v>
      </c>
      <c r="K30" s="126">
        <f>I30*J30</f>
        <v>109800</v>
      </c>
      <c r="L30" s="245" t="s">
        <v>491</v>
      </c>
      <c r="O30" s="84"/>
    </row>
    <row r="31" spans="1:15" ht="15.75" thickBot="1">
      <c r="A31" s="242" t="s">
        <v>489</v>
      </c>
      <c r="B31" s="243" t="s">
        <v>488</v>
      </c>
      <c r="C31" s="100" t="s">
        <v>487</v>
      </c>
      <c r="D31" s="243" t="s">
        <v>486</v>
      </c>
      <c r="E31" s="99" t="s">
        <v>485</v>
      </c>
      <c r="F31" s="98" t="s">
        <v>484</v>
      </c>
      <c r="H31" s="119">
        <v>42097</v>
      </c>
      <c r="I31" s="117">
        <v>35560</v>
      </c>
      <c r="J31" s="123">
        <v>3.05</v>
      </c>
      <c r="K31" s="123">
        <f>I31*J31</f>
        <v>108458</v>
      </c>
      <c r="L31" s="241" t="s">
        <v>491</v>
      </c>
      <c r="O31" s="84"/>
    </row>
    <row r="32" spans="1:15">
      <c r="A32" s="122">
        <v>41701</v>
      </c>
      <c r="B32" s="121">
        <v>2863</v>
      </c>
      <c r="C32" s="120">
        <v>34900</v>
      </c>
      <c r="D32" s="244">
        <v>2.93</v>
      </c>
      <c r="E32" s="244">
        <f>+D32*(C32)</f>
        <v>102257</v>
      </c>
      <c r="F32" s="245" t="s">
        <v>491</v>
      </c>
      <c r="H32" s="119">
        <v>42098</v>
      </c>
      <c r="I32" s="117">
        <v>31080</v>
      </c>
      <c r="J32" s="123">
        <v>3.05</v>
      </c>
      <c r="K32" s="123">
        <f t="shared" ref="K32:K40" si="1">I32*J32</f>
        <v>94794</v>
      </c>
      <c r="L32" s="241" t="s">
        <v>491</v>
      </c>
      <c r="O32" s="84"/>
    </row>
    <row r="33" spans="1:20" ht="15.75" thickBot="1">
      <c r="A33" s="116">
        <v>41723</v>
      </c>
      <c r="B33" s="115">
        <v>2889</v>
      </c>
      <c r="C33" s="114">
        <v>34920</v>
      </c>
      <c r="D33" s="246">
        <v>2.83</v>
      </c>
      <c r="E33" s="246">
        <f>C33*D33</f>
        <v>98823.6</v>
      </c>
      <c r="F33" s="247" t="s">
        <v>491</v>
      </c>
      <c r="H33" s="119">
        <v>42102</v>
      </c>
      <c r="I33" s="117">
        <v>27640</v>
      </c>
      <c r="J33" s="123">
        <v>3.05</v>
      </c>
      <c r="K33" s="123">
        <f t="shared" si="1"/>
        <v>84302</v>
      </c>
      <c r="L33" s="241" t="s">
        <v>491</v>
      </c>
      <c r="O33" s="84"/>
    </row>
    <row r="34" spans="1:20" ht="15.75" thickBot="1">
      <c r="A34" s="723" t="s">
        <v>503</v>
      </c>
      <c r="B34" s="724"/>
      <c r="C34" s="95">
        <f>SUM(C32:C33)</f>
        <v>69820</v>
      </c>
      <c r="D34" s="91"/>
      <c r="E34" s="94">
        <f>SUM(E32:E33)</f>
        <v>201080.6</v>
      </c>
      <c r="F34" s="89"/>
      <c r="H34" s="119">
        <v>42103</v>
      </c>
      <c r="I34" s="117">
        <v>27620</v>
      </c>
      <c r="J34" s="123">
        <v>3.05</v>
      </c>
      <c r="K34" s="123">
        <f t="shared" si="1"/>
        <v>84241</v>
      </c>
      <c r="L34" s="241" t="s">
        <v>491</v>
      </c>
      <c r="O34" s="84"/>
    </row>
    <row r="35" spans="1:20" ht="15.75" thickBot="1">
      <c r="H35" s="119">
        <v>42108</v>
      </c>
      <c r="I35" s="117">
        <v>35700</v>
      </c>
      <c r="J35" s="123">
        <v>3.1</v>
      </c>
      <c r="K35" s="123">
        <f t="shared" si="1"/>
        <v>110670</v>
      </c>
      <c r="L35" s="241" t="s">
        <v>491</v>
      </c>
      <c r="O35" s="84"/>
    </row>
    <row r="36" spans="1:20" ht="15.75" thickBot="1">
      <c r="A36" s="242" t="s">
        <v>489</v>
      </c>
      <c r="B36" s="243" t="s">
        <v>488</v>
      </c>
      <c r="C36" s="100" t="s">
        <v>487</v>
      </c>
      <c r="D36" s="243" t="s">
        <v>486</v>
      </c>
      <c r="E36" s="99" t="s">
        <v>485</v>
      </c>
      <c r="F36" s="98" t="s">
        <v>484</v>
      </c>
      <c r="H36" s="119">
        <v>42111</v>
      </c>
      <c r="I36" s="117">
        <v>33240</v>
      </c>
      <c r="J36" s="123">
        <v>3.1</v>
      </c>
      <c r="K36" s="123">
        <f t="shared" si="1"/>
        <v>103044</v>
      </c>
      <c r="L36" s="241" t="s">
        <v>491</v>
      </c>
      <c r="O36" s="84"/>
    </row>
    <row r="37" spans="1:20">
      <c r="A37" s="122">
        <v>41761</v>
      </c>
      <c r="B37" s="121">
        <v>2787</v>
      </c>
      <c r="C37" s="120">
        <v>35720</v>
      </c>
      <c r="D37" s="244">
        <v>2.85</v>
      </c>
      <c r="E37" s="244">
        <f>+D37*(C37)</f>
        <v>101802</v>
      </c>
      <c r="F37" s="245" t="s">
        <v>491</v>
      </c>
      <c r="H37" s="135">
        <v>42112</v>
      </c>
      <c r="I37" s="134">
        <v>27500</v>
      </c>
      <c r="J37" s="155">
        <v>3.1</v>
      </c>
      <c r="K37" s="155">
        <f t="shared" si="1"/>
        <v>85250</v>
      </c>
      <c r="L37" s="132" t="s">
        <v>491</v>
      </c>
      <c r="O37" s="84"/>
    </row>
    <row r="38" spans="1:20">
      <c r="A38" s="119">
        <v>41764</v>
      </c>
      <c r="B38" s="118">
        <v>2788</v>
      </c>
      <c r="C38" s="117">
        <v>35600</v>
      </c>
      <c r="D38" s="240">
        <v>2.85</v>
      </c>
      <c r="E38" s="240">
        <f>C38*D38</f>
        <v>101460</v>
      </c>
      <c r="F38" s="241" t="s">
        <v>491</v>
      </c>
      <c r="H38" s="135">
        <v>42114</v>
      </c>
      <c r="I38" s="134">
        <v>27940</v>
      </c>
      <c r="J38" s="155">
        <v>3.1</v>
      </c>
      <c r="K38" s="155">
        <f t="shared" si="1"/>
        <v>86614</v>
      </c>
      <c r="L38" s="132" t="s">
        <v>491</v>
      </c>
      <c r="O38" s="84"/>
      <c r="T38" s="84"/>
    </row>
    <row r="39" spans="1:20">
      <c r="A39" s="109">
        <v>41769</v>
      </c>
      <c r="B39" s="108">
        <v>2795</v>
      </c>
      <c r="C39" s="107">
        <v>36180</v>
      </c>
      <c r="D39" s="140">
        <v>2.85</v>
      </c>
      <c r="E39" s="140">
        <f t="shared" ref="E39:E44" si="2">C39*D39</f>
        <v>103113</v>
      </c>
      <c r="F39" s="139" t="s">
        <v>491</v>
      </c>
      <c r="H39" s="135">
        <v>42122</v>
      </c>
      <c r="I39" s="134">
        <v>35240</v>
      </c>
      <c r="J39" s="155">
        <v>3.1</v>
      </c>
      <c r="K39" s="155">
        <f t="shared" si="1"/>
        <v>109244</v>
      </c>
      <c r="L39" s="132" t="s">
        <v>491</v>
      </c>
      <c r="O39" s="84"/>
    </row>
    <row r="40" spans="1:20" ht="15.75" thickBot="1">
      <c r="A40" s="109">
        <v>41771</v>
      </c>
      <c r="B40" s="108">
        <v>2796</v>
      </c>
      <c r="C40" s="107">
        <v>35020</v>
      </c>
      <c r="D40" s="140">
        <v>2.85</v>
      </c>
      <c r="E40" s="140">
        <f t="shared" si="2"/>
        <v>99807</v>
      </c>
      <c r="F40" s="139" t="s">
        <v>491</v>
      </c>
      <c r="H40" s="116">
        <v>42124</v>
      </c>
      <c r="I40" s="114">
        <v>40120</v>
      </c>
      <c r="J40" s="127">
        <v>3.1</v>
      </c>
      <c r="K40" s="127">
        <f t="shared" si="1"/>
        <v>124372</v>
      </c>
      <c r="L40" s="247" t="s">
        <v>491</v>
      </c>
      <c r="O40" s="84"/>
    </row>
    <row r="41" spans="1:20" ht="15.75" thickBot="1">
      <c r="A41" s="109">
        <v>41772</v>
      </c>
      <c r="B41" s="108">
        <v>2800</v>
      </c>
      <c r="C41" s="107">
        <v>35280</v>
      </c>
      <c r="D41" s="140">
        <v>2.85</v>
      </c>
      <c r="E41" s="140">
        <f>D41*C41</f>
        <v>100548</v>
      </c>
      <c r="F41" s="139" t="s">
        <v>491</v>
      </c>
      <c r="H41" s="238" t="s">
        <v>502</v>
      </c>
      <c r="I41" s="95">
        <f>SUM(I30:I40)</f>
        <v>357640</v>
      </c>
      <c r="J41" s="91"/>
      <c r="K41" s="94">
        <f>SUM(K30:K40)</f>
        <v>1100789</v>
      </c>
      <c r="L41" s="89"/>
      <c r="O41" s="84"/>
    </row>
    <row r="42" spans="1:20" ht="15.75" thickBot="1">
      <c r="A42" s="109">
        <v>41775</v>
      </c>
      <c r="B42" s="108">
        <v>2651</v>
      </c>
      <c r="C42" s="107">
        <v>35200</v>
      </c>
      <c r="D42" s="140">
        <v>2.85</v>
      </c>
      <c r="E42" s="140">
        <f t="shared" si="2"/>
        <v>100320</v>
      </c>
      <c r="F42" s="139" t="s">
        <v>491</v>
      </c>
      <c r="O42" s="84"/>
    </row>
    <row r="43" spans="1:20" ht="15.75" thickBot="1">
      <c r="A43" s="109">
        <v>41779</v>
      </c>
      <c r="B43" s="108">
        <v>2652</v>
      </c>
      <c r="C43" s="107">
        <v>35300</v>
      </c>
      <c r="D43" s="140">
        <v>2.85</v>
      </c>
      <c r="E43" s="140">
        <f t="shared" si="2"/>
        <v>100605</v>
      </c>
      <c r="F43" s="139" t="s">
        <v>491</v>
      </c>
      <c r="H43" s="242" t="s">
        <v>489</v>
      </c>
      <c r="I43" s="100" t="s">
        <v>487</v>
      </c>
      <c r="J43" s="243" t="s">
        <v>486</v>
      </c>
      <c r="K43" s="99" t="s">
        <v>485</v>
      </c>
      <c r="L43" s="98" t="s">
        <v>484</v>
      </c>
      <c r="O43" s="84"/>
    </row>
    <row r="44" spans="1:20" s="125" customFormat="1" ht="15.75" thickBot="1">
      <c r="A44" s="104">
        <v>41780</v>
      </c>
      <c r="B44" s="103">
        <v>2653</v>
      </c>
      <c r="C44" s="102">
        <v>31020</v>
      </c>
      <c r="D44" s="154">
        <v>2.85</v>
      </c>
      <c r="E44" s="154">
        <f t="shared" si="2"/>
        <v>88407</v>
      </c>
      <c r="F44" s="153" t="s">
        <v>491</v>
      </c>
      <c r="H44" s="122">
        <v>42126</v>
      </c>
      <c r="I44" s="120">
        <v>40260</v>
      </c>
      <c r="J44" s="126">
        <v>3.15</v>
      </c>
      <c r="K44" s="126">
        <f>I44*J44</f>
        <v>126819</v>
      </c>
      <c r="L44" s="245" t="s">
        <v>491</v>
      </c>
      <c r="N44" s="84"/>
      <c r="O44" s="87"/>
      <c r="P44" s="96"/>
    </row>
    <row r="45" spans="1:20" ht="15.75" thickBot="1">
      <c r="A45" s="725" t="s">
        <v>501</v>
      </c>
      <c r="B45" s="726"/>
      <c r="C45" s="152">
        <f>SUM(C37:C44)</f>
        <v>279320</v>
      </c>
      <c r="D45" s="151"/>
      <c r="E45" s="150">
        <f>SUM(E37:E44)</f>
        <v>796062</v>
      </c>
      <c r="F45" s="149"/>
      <c r="H45" s="119">
        <v>42129</v>
      </c>
      <c r="I45" s="117">
        <f>37860+60</f>
        <v>37920</v>
      </c>
      <c r="J45" s="123">
        <v>3.0550000000000002</v>
      </c>
      <c r="K45" s="123">
        <f t="shared" ref="K45:K59" si="3">I45*J45</f>
        <v>115845.6</v>
      </c>
      <c r="L45" s="241" t="s">
        <v>491</v>
      </c>
      <c r="O45" s="87"/>
      <c r="P45" s="130"/>
    </row>
    <row r="46" spans="1:20" ht="15.75" thickBot="1">
      <c r="A46" s="96"/>
      <c r="B46" s="96"/>
      <c r="C46" s="148"/>
      <c r="D46" s="96"/>
      <c r="E46" s="97"/>
      <c r="F46" s="96"/>
      <c r="H46" s="119">
        <v>42130</v>
      </c>
      <c r="I46" s="117">
        <v>31180</v>
      </c>
      <c r="J46" s="123">
        <v>3.15</v>
      </c>
      <c r="K46" s="123">
        <f t="shared" si="3"/>
        <v>98217</v>
      </c>
      <c r="L46" s="241" t="s">
        <v>491</v>
      </c>
      <c r="O46" s="87"/>
      <c r="P46" s="125"/>
    </row>
    <row r="47" spans="1:20" ht="15.75" thickBot="1">
      <c r="A47" s="147" t="s">
        <v>489</v>
      </c>
      <c r="B47" s="145" t="s">
        <v>488</v>
      </c>
      <c r="C47" s="146" t="s">
        <v>487</v>
      </c>
      <c r="D47" s="145" t="s">
        <v>486</v>
      </c>
      <c r="E47" s="144" t="s">
        <v>485</v>
      </c>
      <c r="F47" s="143" t="s">
        <v>484</v>
      </c>
      <c r="H47" s="119">
        <v>42131</v>
      </c>
      <c r="I47" s="117">
        <v>29980</v>
      </c>
      <c r="J47" s="123">
        <v>3.15</v>
      </c>
      <c r="K47" s="123">
        <f t="shared" si="3"/>
        <v>94437</v>
      </c>
      <c r="L47" s="241" t="s">
        <v>491</v>
      </c>
      <c r="O47" s="87"/>
      <c r="P47" s="125"/>
    </row>
    <row r="48" spans="1:20" s="125" customFormat="1">
      <c r="A48" s="113">
        <v>41792</v>
      </c>
      <c r="B48" s="112">
        <v>2672</v>
      </c>
      <c r="C48" s="111">
        <v>35340</v>
      </c>
      <c r="D48" s="142">
        <v>2.85</v>
      </c>
      <c r="E48" s="142">
        <f>+D48*(C48)</f>
        <v>100719</v>
      </c>
      <c r="F48" s="141" t="s">
        <v>491</v>
      </c>
      <c r="H48" s="119">
        <v>42132</v>
      </c>
      <c r="I48" s="117">
        <v>15540</v>
      </c>
      <c r="J48" s="123">
        <v>3.15</v>
      </c>
      <c r="K48" s="123">
        <f t="shared" si="3"/>
        <v>48951</v>
      </c>
      <c r="L48" s="241" t="s">
        <v>491</v>
      </c>
      <c r="N48" s="84"/>
      <c r="O48" s="87"/>
      <c r="P48" s="96"/>
    </row>
    <row r="49" spans="1:17">
      <c r="A49" s="109">
        <v>41793</v>
      </c>
      <c r="B49" s="108">
        <v>2673</v>
      </c>
      <c r="C49" s="107">
        <v>35120</v>
      </c>
      <c r="D49" s="140">
        <v>2.85</v>
      </c>
      <c r="E49" s="140">
        <f>C49*D49</f>
        <v>100092</v>
      </c>
      <c r="F49" s="139" t="s">
        <v>491</v>
      </c>
      <c r="H49" s="119">
        <v>42133</v>
      </c>
      <c r="I49" s="117">
        <v>27780</v>
      </c>
      <c r="J49" s="123">
        <v>3.15</v>
      </c>
      <c r="K49" s="123">
        <f t="shared" si="3"/>
        <v>87507</v>
      </c>
      <c r="L49" s="241" t="s">
        <v>491</v>
      </c>
      <c r="O49" s="87"/>
      <c r="P49" s="130"/>
      <c r="Q49" s="84"/>
    </row>
    <row r="50" spans="1:17">
      <c r="A50" s="119">
        <v>41811</v>
      </c>
      <c r="B50" s="118"/>
      <c r="C50" s="117">
        <v>12100</v>
      </c>
      <c r="D50" s="240">
        <v>2.9</v>
      </c>
      <c r="E50" s="240">
        <f>C50*D50</f>
        <v>35090</v>
      </c>
      <c r="F50" s="241" t="s">
        <v>491</v>
      </c>
      <c r="H50" s="119">
        <v>42133</v>
      </c>
      <c r="I50" s="117">
        <v>25220</v>
      </c>
      <c r="J50" s="123">
        <v>3.15</v>
      </c>
      <c r="K50" s="123">
        <f t="shared" si="3"/>
        <v>79443</v>
      </c>
      <c r="L50" s="241" t="s">
        <v>491</v>
      </c>
      <c r="O50" s="87"/>
      <c r="P50" s="130"/>
    </row>
    <row r="51" spans="1:17">
      <c r="A51" s="119">
        <v>41814</v>
      </c>
      <c r="B51" s="118">
        <v>2699</v>
      </c>
      <c r="C51" s="117">
        <v>21260</v>
      </c>
      <c r="D51" s="240">
        <v>2.9</v>
      </c>
      <c r="E51" s="240">
        <f>C51*D51</f>
        <v>61654</v>
      </c>
      <c r="F51" s="241" t="s">
        <v>491</v>
      </c>
      <c r="H51" s="119">
        <v>42137</v>
      </c>
      <c r="I51" s="117">
        <v>35720</v>
      </c>
      <c r="J51" s="123">
        <v>3.15</v>
      </c>
      <c r="K51" s="123">
        <f t="shared" si="3"/>
        <v>112518</v>
      </c>
      <c r="L51" s="241" t="s">
        <v>491</v>
      </c>
      <c r="O51" s="87"/>
      <c r="P51" s="130"/>
    </row>
    <row r="52" spans="1:17">
      <c r="A52" s="119">
        <v>41816</v>
      </c>
      <c r="B52" s="118">
        <v>2700</v>
      </c>
      <c r="C52" s="117">
        <v>35080</v>
      </c>
      <c r="D52" s="240">
        <v>2.9</v>
      </c>
      <c r="E52" s="240">
        <f>D52*C52</f>
        <v>101732</v>
      </c>
      <c r="F52" s="241" t="s">
        <v>491</v>
      </c>
      <c r="H52" s="119">
        <v>42139</v>
      </c>
      <c r="I52" s="117">
        <v>35120</v>
      </c>
      <c r="J52" s="123">
        <v>3.15</v>
      </c>
      <c r="K52" s="123">
        <f t="shared" si="3"/>
        <v>110628</v>
      </c>
      <c r="L52" s="241" t="s">
        <v>491</v>
      </c>
      <c r="O52" s="87"/>
      <c r="P52" s="130"/>
    </row>
    <row r="53" spans="1:17" ht="15.75" thickBot="1">
      <c r="A53" s="116">
        <v>41817</v>
      </c>
      <c r="B53" s="115">
        <v>2551</v>
      </c>
      <c r="C53" s="114">
        <v>35120</v>
      </c>
      <c r="D53" s="246">
        <v>2.9</v>
      </c>
      <c r="E53" s="246">
        <f>D53*C53</f>
        <v>101848</v>
      </c>
      <c r="F53" s="247" t="s">
        <v>491</v>
      </c>
      <c r="H53" s="119">
        <v>42142</v>
      </c>
      <c r="I53" s="117">
        <v>31300</v>
      </c>
      <c r="J53" s="123">
        <v>3.15</v>
      </c>
      <c r="K53" s="123">
        <f t="shared" si="3"/>
        <v>98595</v>
      </c>
      <c r="L53" s="241" t="s">
        <v>491</v>
      </c>
      <c r="O53" s="87"/>
      <c r="P53" s="130"/>
    </row>
    <row r="54" spans="1:17" ht="15.75" thickBot="1">
      <c r="A54" s="723" t="s">
        <v>500</v>
      </c>
      <c r="B54" s="724"/>
      <c r="C54" s="95">
        <f>SUM(C48:C53)</f>
        <v>174020</v>
      </c>
      <c r="D54" s="91"/>
      <c r="E54" s="94">
        <f>SUM(E48:E51)</f>
        <v>297555</v>
      </c>
      <c r="F54" s="89"/>
      <c r="H54" s="119">
        <v>42144</v>
      </c>
      <c r="I54" s="117">
        <v>30960</v>
      </c>
      <c r="J54" s="123">
        <v>3.15</v>
      </c>
      <c r="K54" s="123">
        <f t="shared" si="3"/>
        <v>97524</v>
      </c>
      <c r="L54" s="241" t="s">
        <v>491</v>
      </c>
      <c r="N54" s="137"/>
      <c r="O54" s="128"/>
      <c r="P54" s="130"/>
    </row>
    <row r="55" spans="1:17" ht="15.75" thickBot="1">
      <c r="H55" s="119">
        <v>42144</v>
      </c>
      <c r="I55" s="117">
        <v>34920</v>
      </c>
      <c r="J55" s="123">
        <v>3.15</v>
      </c>
      <c r="K55" s="123">
        <f t="shared" si="3"/>
        <v>109998</v>
      </c>
      <c r="L55" s="241" t="s">
        <v>491</v>
      </c>
      <c r="N55" s="137"/>
      <c r="O55" s="137"/>
      <c r="P55" s="130"/>
    </row>
    <row r="56" spans="1:17" ht="15.75" thickBot="1">
      <c r="A56" s="242" t="s">
        <v>489</v>
      </c>
      <c r="B56" s="243" t="s">
        <v>488</v>
      </c>
      <c r="C56" s="100" t="s">
        <v>487</v>
      </c>
      <c r="D56" s="243" t="s">
        <v>486</v>
      </c>
      <c r="E56" s="99" t="s">
        <v>485</v>
      </c>
      <c r="F56" s="98" t="s">
        <v>484</v>
      </c>
      <c r="H56" s="119">
        <v>42146</v>
      </c>
      <c r="I56" s="117">
        <v>38960</v>
      </c>
      <c r="J56" s="123">
        <v>3.15</v>
      </c>
      <c r="K56" s="123">
        <f t="shared" si="3"/>
        <v>122724</v>
      </c>
      <c r="L56" s="241" t="s">
        <v>491</v>
      </c>
      <c r="N56" s="137"/>
      <c r="O56" s="137"/>
      <c r="P56" s="130"/>
    </row>
    <row r="57" spans="1:17">
      <c r="A57" s="122">
        <v>41822</v>
      </c>
      <c r="B57" s="121">
        <v>2558</v>
      </c>
      <c r="C57" s="120">
        <v>26860</v>
      </c>
      <c r="D57" s="244">
        <v>2.9</v>
      </c>
      <c r="E57" s="244">
        <f>C57*D57</f>
        <v>77894</v>
      </c>
      <c r="F57" s="245" t="s">
        <v>491</v>
      </c>
      <c r="H57" s="119">
        <v>42147</v>
      </c>
      <c r="I57" s="117">
        <v>38980</v>
      </c>
      <c r="J57" s="123">
        <v>3.15</v>
      </c>
      <c r="K57" s="123">
        <f t="shared" si="3"/>
        <v>122787</v>
      </c>
      <c r="L57" s="241" t="s">
        <v>491</v>
      </c>
      <c r="N57" s="137"/>
      <c r="O57" s="137"/>
      <c r="P57" s="130"/>
    </row>
    <row r="58" spans="1:17">
      <c r="A58" s="119">
        <v>41828</v>
      </c>
      <c r="B58" s="118">
        <v>2561</v>
      </c>
      <c r="C58" s="117">
        <v>30680</v>
      </c>
      <c r="D58" s="240">
        <v>2.9</v>
      </c>
      <c r="E58" s="240">
        <f>D58*C58</f>
        <v>88972</v>
      </c>
      <c r="F58" s="241" t="s">
        <v>491</v>
      </c>
      <c r="H58" s="119">
        <v>42149</v>
      </c>
      <c r="I58" s="117">
        <v>30140</v>
      </c>
      <c r="J58" s="123">
        <v>3.15</v>
      </c>
      <c r="K58" s="123">
        <f t="shared" si="3"/>
        <v>94941</v>
      </c>
      <c r="L58" s="241" t="s">
        <v>491</v>
      </c>
      <c r="N58" s="97"/>
      <c r="O58" s="97"/>
      <c r="P58" s="96"/>
    </row>
    <row r="59" spans="1:17" ht="15.75" thickBot="1">
      <c r="A59" s="119">
        <v>41829</v>
      </c>
      <c r="B59" s="118">
        <v>2562</v>
      </c>
      <c r="C59" s="117">
        <v>35020</v>
      </c>
      <c r="D59" s="240">
        <v>2.9</v>
      </c>
      <c r="E59" s="240">
        <f t="shared" ref="E59:E67" si="4">D59*C59</f>
        <v>101558</v>
      </c>
      <c r="F59" s="241" t="s">
        <v>491</v>
      </c>
      <c r="H59" s="116">
        <v>42150</v>
      </c>
      <c r="I59" s="114">
        <v>40240</v>
      </c>
      <c r="J59" s="127">
        <v>3.15</v>
      </c>
      <c r="K59" s="127">
        <f t="shared" si="3"/>
        <v>126756</v>
      </c>
      <c r="L59" s="247" t="s">
        <v>491</v>
      </c>
      <c r="N59" s="97"/>
      <c r="O59" s="97"/>
      <c r="P59" s="96"/>
    </row>
    <row r="60" spans="1:17" ht="15.75" thickBot="1">
      <c r="A60" s="119">
        <v>41830</v>
      </c>
      <c r="B60" s="118">
        <v>2563</v>
      </c>
      <c r="C60" s="117">
        <v>32200</v>
      </c>
      <c r="D60" s="240">
        <v>2.9</v>
      </c>
      <c r="E60" s="240">
        <f t="shared" si="4"/>
        <v>93380</v>
      </c>
      <c r="F60" s="241" t="s">
        <v>491</v>
      </c>
      <c r="H60" s="238" t="s">
        <v>499</v>
      </c>
      <c r="I60" s="95">
        <f>SUM(I44:I59)</f>
        <v>524220</v>
      </c>
      <c r="J60" s="91"/>
      <c r="K60" s="94">
        <f>SUM(K44:K59)</f>
        <v>1647690.6</v>
      </c>
      <c r="L60" s="89"/>
      <c r="N60" s="97"/>
      <c r="O60" s="96"/>
      <c r="P60" s="96"/>
    </row>
    <row r="61" spans="1:17">
      <c r="A61" s="119">
        <v>41831</v>
      </c>
      <c r="B61" s="118">
        <v>2565</v>
      </c>
      <c r="C61" s="117">
        <v>31200</v>
      </c>
      <c r="D61" s="240">
        <v>2.9</v>
      </c>
      <c r="E61" s="240">
        <f t="shared" si="4"/>
        <v>90480</v>
      </c>
      <c r="F61" s="241" t="s">
        <v>491</v>
      </c>
      <c r="N61" s="97"/>
      <c r="O61" s="96"/>
      <c r="P61" s="96"/>
    </row>
    <row r="62" spans="1:17">
      <c r="A62" s="119">
        <v>41831</v>
      </c>
      <c r="B62" s="118">
        <v>2572</v>
      </c>
      <c r="C62" s="117">
        <v>35140</v>
      </c>
      <c r="D62" s="240">
        <v>2.9</v>
      </c>
      <c r="E62" s="240">
        <f t="shared" si="4"/>
        <v>101906</v>
      </c>
      <c r="F62" s="241" t="s">
        <v>491</v>
      </c>
      <c r="N62" s="97"/>
      <c r="O62" s="96"/>
      <c r="P62" s="96"/>
    </row>
    <row r="63" spans="1:17" ht="15.75" thickBot="1">
      <c r="A63" s="119">
        <v>41833</v>
      </c>
      <c r="B63" s="118">
        <v>2573</v>
      </c>
      <c r="C63" s="117">
        <v>28620</v>
      </c>
      <c r="D63" s="240">
        <v>2.9</v>
      </c>
      <c r="E63" s="240">
        <f t="shared" si="4"/>
        <v>82998</v>
      </c>
      <c r="F63" s="241" t="s">
        <v>491</v>
      </c>
      <c r="N63" s="97"/>
      <c r="O63" s="96"/>
      <c r="P63" s="96"/>
    </row>
    <row r="64" spans="1:17" ht="15.75" thickBot="1">
      <c r="A64" s="119">
        <v>41834</v>
      </c>
      <c r="B64" s="118"/>
      <c r="C64" s="117">
        <v>35060</v>
      </c>
      <c r="D64" s="240">
        <v>2.9</v>
      </c>
      <c r="E64" s="240">
        <f t="shared" si="4"/>
        <v>101674</v>
      </c>
      <c r="F64" s="241" t="s">
        <v>491</v>
      </c>
      <c r="H64" s="242" t="s">
        <v>489</v>
      </c>
      <c r="I64" s="100" t="s">
        <v>487</v>
      </c>
      <c r="J64" s="243" t="s">
        <v>486</v>
      </c>
      <c r="K64" s="99" t="s">
        <v>485</v>
      </c>
      <c r="L64" s="98" t="s">
        <v>484</v>
      </c>
      <c r="N64" s="97"/>
      <c r="O64" s="97"/>
      <c r="P64" s="96"/>
    </row>
    <row r="65" spans="1:16">
      <c r="A65" s="119">
        <v>41837</v>
      </c>
      <c r="B65" s="118"/>
      <c r="C65" s="117">
        <v>35360</v>
      </c>
      <c r="D65" s="240">
        <v>2.9</v>
      </c>
      <c r="E65" s="240">
        <f t="shared" si="4"/>
        <v>102544</v>
      </c>
      <c r="F65" s="241" t="s">
        <v>491</v>
      </c>
      <c r="H65" s="122">
        <v>42160</v>
      </c>
      <c r="I65" s="120">
        <v>39340</v>
      </c>
      <c r="J65" s="126">
        <v>3.15</v>
      </c>
      <c r="K65" s="126">
        <f>I65*J65</f>
        <v>123921</v>
      </c>
      <c r="L65" s="245" t="s">
        <v>491</v>
      </c>
      <c r="M65" s="125"/>
      <c r="N65" s="138"/>
      <c r="O65" s="138"/>
      <c r="P65" s="124"/>
    </row>
    <row r="66" spans="1:16">
      <c r="A66" s="119">
        <v>41842</v>
      </c>
      <c r="B66" s="118"/>
      <c r="C66" s="117">
        <v>34860</v>
      </c>
      <c r="D66" s="240">
        <v>2.9</v>
      </c>
      <c r="E66" s="240">
        <f t="shared" si="4"/>
        <v>101094</v>
      </c>
      <c r="F66" s="241" t="s">
        <v>491</v>
      </c>
      <c r="H66" s="119">
        <v>42161</v>
      </c>
      <c r="I66" s="117">
        <v>31660</v>
      </c>
      <c r="J66" s="123">
        <v>3.15</v>
      </c>
      <c r="K66" s="123">
        <f t="shared" ref="K66:K80" si="5">I66*J66</f>
        <v>99729</v>
      </c>
      <c r="L66" s="241" t="s">
        <v>491</v>
      </c>
      <c r="N66" s="97"/>
      <c r="O66" s="97"/>
      <c r="P66" s="96"/>
    </row>
    <row r="67" spans="1:16" ht="15.75" thickBot="1">
      <c r="A67" s="116">
        <v>41842</v>
      </c>
      <c r="B67" s="115"/>
      <c r="C67" s="114">
        <v>33820</v>
      </c>
      <c r="D67" s="246">
        <v>2.9</v>
      </c>
      <c r="E67" s="246">
        <f t="shared" si="4"/>
        <v>98078</v>
      </c>
      <c r="F67" s="247" t="s">
        <v>491</v>
      </c>
      <c r="H67" s="119">
        <v>42162</v>
      </c>
      <c r="I67" s="117">
        <v>31160</v>
      </c>
      <c r="J67" s="123">
        <v>3.15</v>
      </c>
      <c r="K67" s="123">
        <f t="shared" si="5"/>
        <v>98154</v>
      </c>
      <c r="L67" s="241" t="s">
        <v>491</v>
      </c>
      <c r="N67" s="97"/>
      <c r="O67" s="97"/>
      <c r="P67" s="96"/>
    </row>
    <row r="68" spans="1:16" ht="15.75" thickBot="1">
      <c r="A68" s="723" t="s">
        <v>498</v>
      </c>
      <c r="B68" s="724"/>
      <c r="C68" s="95">
        <f>SUM(C57:C67)</f>
        <v>358820</v>
      </c>
      <c r="D68" s="91"/>
      <c r="E68" s="94">
        <f>SUM(E57:E67)</f>
        <v>1040578</v>
      </c>
      <c r="F68" s="89"/>
      <c r="H68" s="119">
        <v>42163</v>
      </c>
      <c r="I68" s="117">
        <v>36040</v>
      </c>
      <c r="J68" s="123">
        <v>3.15</v>
      </c>
      <c r="K68" s="123">
        <f t="shared" si="5"/>
        <v>113526</v>
      </c>
      <c r="L68" s="241" t="s">
        <v>491</v>
      </c>
      <c r="N68" s="87"/>
      <c r="O68" s="87"/>
      <c r="P68" s="89"/>
    </row>
    <row r="69" spans="1:16" ht="15.75" thickBot="1">
      <c r="H69" s="119">
        <v>42164</v>
      </c>
      <c r="I69" s="117">
        <v>40780</v>
      </c>
      <c r="J69" s="123">
        <v>3.15</v>
      </c>
      <c r="K69" s="123">
        <f t="shared" si="5"/>
        <v>128457</v>
      </c>
      <c r="L69" s="241" t="s">
        <v>491</v>
      </c>
      <c r="M69" s="125"/>
      <c r="N69" s="137"/>
      <c r="O69" s="137"/>
      <c r="P69" s="130"/>
    </row>
    <row r="70" spans="1:16" ht="15.75" thickBot="1">
      <c r="A70" s="242" t="s">
        <v>489</v>
      </c>
      <c r="B70" s="243" t="s">
        <v>488</v>
      </c>
      <c r="C70" s="100" t="s">
        <v>487</v>
      </c>
      <c r="D70" s="243" t="s">
        <v>486</v>
      </c>
      <c r="E70" s="99" t="s">
        <v>485</v>
      </c>
      <c r="F70" s="98" t="s">
        <v>484</v>
      </c>
      <c r="H70" s="119">
        <v>42165</v>
      </c>
      <c r="I70" s="117">
        <v>43540</v>
      </c>
      <c r="J70" s="123">
        <v>3.15</v>
      </c>
      <c r="K70" s="123">
        <f t="shared" si="5"/>
        <v>137151</v>
      </c>
      <c r="L70" s="241" t="s">
        <v>491</v>
      </c>
      <c r="N70" s="87"/>
      <c r="O70" s="87"/>
      <c r="P70" s="89"/>
    </row>
    <row r="71" spans="1:16">
      <c r="A71" s="122">
        <v>41878</v>
      </c>
      <c r="B71" s="121">
        <v>3470</v>
      </c>
      <c r="C71" s="120">
        <v>31200</v>
      </c>
      <c r="D71" s="244">
        <v>2.95</v>
      </c>
      <c r="E71" s="244">
        <f>+D71*C71</f>
        <v>92040</v>
      </c>
      <c r="F71" s="245" t="s">
        <v>491</v>
      </c>
      <c r="H71" s="135">
        <v>42170</v>
      </c>
      <c r="I71" s="136">
        <v>29860</v>
      </c>
      <c r="J71" s="133">
        <v>3.15</v>
      </c>
      <c r="K71" s="133">
        <f t="shared" si="5"/>
        <v>94059</v>
      </c>
      <c r="L71" s="132" t="s">
        <v>491</v>
      </c>
      <c r="O71" s="84"/>
      <c r="P71" s="89"/>
    </row>
    <row r="72" spans="1:16">
      <c r="A72" s="119">
        <v>41879</v>
      </c>
      <c r="B72" s="118">
        <v>3471</v>
      </c>
      <c r="C72" s="117">
        <v>37040</v>
      </c>
      <c r="D72" s="240">
        <v>2.95</v>
      </c>
      <c r="E72" s="240">
        <f>D72*C72</f>
        <v>109268</v>
      </c>
      <c r="F72" s="241" t="s">
        <v>491</v>
      </c>
      <c r="H72" s="135">
        <v>42170</v>
      </c>
      <c r="I72" s="136">
        <v>39260</v>
      </c>
      <c r="J72" s="133">
        <v>3.15</v>
      </c>
      <c r="K72" s="133">
        <f t="shared" si="5"/>
        <v>123669</v>
      </c>
      <c r="L72" s="132" t="s">
        <v>491</v>
      </c>
      <c r="O72" s="84"/>
      <c r="P72" s="89"/>
    </row>
    <row r="73" spans="1:16">
      <c r="A73" s="119">
        <v>41880</v>
      </c>
      <c r="B73" s="118">
        <v>3473</v>
      </c>
      <c r="C73" s="117">
        <v>26220</v>
      </c>
      <c r="D73" s="240">
        <v>2.95</v>
      </c>
      <c r="E73" s="240">
        <f>D73*C73</f>
        <v>77349</v>
      </c>
      <c r="F73" s="241" t="s">
        <v>491</v>
      </c>
      <c r="H73" s="135">
        <v>42172</v>
      </c>
      <c r="I73" s="136">
        <v>38040</v>
      </c>
      <c r="J73" s="133">
        <v>3.15</v>
      </c>
      <c r="K73" s="133">
        <f t="shared" si="5"/>
        <v>119826</v>
      </c>
      <c r="L73" s="132" t="s">
        <v>491</v>
      </c>
      <c r="O73" s="84"/>
      <c r="P73" s="89"/>
    </row>
    <row r="74" spans="1:16" ht="15.75" thickBot="1">
      <c r="A74" s="116">
        <v>41881</v>
      </c>
      <c r="B74" s="115">
        <v>3474</v>
      </c>
      <c r="C74" s="114">
        <v>35120</v>
      </c>
      <c r="D74" s="246">
        <v>2.95</v>
      </c>
      <c r="E74" s="246">
        <f>D74*C74</f>
        <v>103604</v>
      </c>
      <c r="F74" s="247" t="s">
        <v>491</v>
      </c>
      <c r="H74" s="135">
        <v>42172</v>
      </c>
      <c r="I74" s="136">
        <v>33820</v>
      </c>
      <c r="J74" s="133">
        <v>3.15</v>
      </c>
      <c r="K74" s="133">
        <f t="shared" si="5"/>
        <v>106533</v>
      </c>
      <c r="L74" s="132" t="s">
        <v>491</v>
      </c>
      <c r="O74" s="84"/>
      <c r="P74" s="89"/>
    </row>
    <row r="75" spans="1:16" ht="15.75" thickBot="1">
      <c r="A75" s="723" t="s">
        <v>497</v>
      </c>
      <c r="B75" s="724"/>
      <c r="C75" s="95">
        <f>SUM(C71:C74)</f>
        <v>129580</v>
      </c>
      <c r="D75" s="91"/>
      <c r="E75" s="94">
        <f>SUM(E71:E74)</f>
        <v>382261</v>
      </c>
      <c r="F75" s="89"/>
      <c r="H75" s="135">
        <v>42174</v>
      </c>
      <c r="I75" s="136">
        <v>27960</v>
      </c>
      <c r="J75" s="133">
        <v>3.15</v>
      </c>
      <c r="K75" s="133">
        <f t="shared" si="5"/>
        <v>88074</v>
      </c>
      <c r="L75" s="132" t="s">
        <v>491</v>
      </c>
      <c r="O75" s="250"/>
      <c r="P75" s="89"/>
    </row>
    <row r="76" spans="1:16" ht="15.75" thickBot="1">
      <c r="H76" s="135">
        <v>42175</v>
      </c>
      <c r="I76" s="134">
        <v>39040</v>
      </c>
      <c r="J76" s="133">
        <v>3.05</v>
      </c>
      <c r="K76" s="133">
        <f t="shared" si="5"/>
        <v>119072</v>
      </c>
      <c r="L76" s="132" t="s">
        <v>491</v>
      </c>
      <c r="O76" s="250"/>
      <c r="P76" s="89"/>
    </row>
    <row r="77" spans="1:16" ht="15.75" thickBot="1">
      <c r="A77" s="242" t="s">
        <v>489</v>
      </c>
      <c r="B77" s="243" t="s">
        <v>488</v>
      </c>
      <c r="C77" s="100" t="s">
        <v>487</v>
      </c>
      <c r="D77" s="243" t="s">
        <v>486</v>
      </c>
      <c r="E77" s="99" t="s">
        <v>485</v>
      </c>
      <c r="F77" s="98" t="s">
        <v>484</v>
      </c>
      <c r="H77" s="135">
        <v>42176</v>
      </c>
      <c r="I77" s="134">
        <f>21300-200</f>
        <v>21100</v>
      </c>
      <c r="J77" s="133">
        <v>3.15</v>
      </c>
      <c r="K77" s="133">
        <f t="shared" si="5"/>
        <v>66465</v>
      </c>
      <c r="L77" s="132" t="s">
        <v>491</v>
      </c>
      <c r="O77" s="250"/>
    </row>
    <row r="78" spans="1:16">
      <c r="A78" s="122">
        <v>41885</v>
      </c>
      <c r="B78" s="121">
        <v>3482</v>
      </c>
      <c r="C78" s="120">
        <v>30860</v>
      </c>
      <c r="D78" s="244">
        <v>2.95</v>
      </c>
      <c r="E78" s="244">
        <f>+D78*C78</f>
        <v>91037</v>
      </c>
      <c r="F78" s="245" t="s">
        <v>491</v>
      </c>
      <c r="H78" s="119">
        <v>42179</v>
      </c>
      <c r="I78" s="117">
        <v>39040</v>
      </c>
      <c r="J78" s="106">
        <v>3.05</v>
      </c>
      <c r="K78" s="106">
        <f t="shared" si="5"/>
        <v>119072</v>
      </c>
      <c r="L78" s="241" t="s">
        <v>491</v>
      </c>
      <c r="O78" s="250"/>
    </row>
    <row r="79" spans="1:16">
      <c r="A79" s="119">
        <v>41886</v>
      </c>
      <c r="B79" s="118">
        <v>3484</v>
      </c>
      <c r="C79" s="117">
        <v>38680</v>
      </c>
      <c r="D79" s="240">
        <v>2.95</v>
      </c>
      <c r="E79" s="240">
        <f t="shared" ref="E79:E85" si="6">D79*C79</f>
        <v>114106</v>
      </c>
      <c r="F79" s="241" t="s">
        <v>491</v>
      </c>
      <c r="H79" s="119">
        <v>42180</v>
      </c>
      <c r="I79" s="117">
        <v>34920</v>
      </c>
      <c r="J79" s="106">
        <v>3.05</v>
      </c>
      <c r="K79" s="106">
        <f t="shared" si="5"/>
        <v>106506</v>
      </c>
      <c r="L79" s="241" t="s">
        <v>491</v>
      </c>
      <c r="O79" s="250"/>
    </row>
    <row r="80" spans="1:16">
      <c r="A80" s="119">
        <v>41888</v>
      </c>
      <c r="B80" s="118">
        <v>3489</v>
      </c>
      <c r="C80" s="117">
        <v>37960</v>
      </c>
      <c r="D80" s="240">
        <v>2.95</v>
      </c>
      <c r="E80" s="240">
        <f t="shared" si="6"/>
        <v>111982</v>
      </c>
      <c r="F80" s="241" t="s">
        <v>491</v>
      </c>
      <c r="H80" s="119">
        <v>42181</v>
      </c>
      <c r="I80" s="117">
        <f>37000-200</f>
        <v>36800</v>
      </c>
      <c r="J80" s="106">
        <v>3.05</v>
      </c>
      <c r="K80" s="106">
        <f t="shared" si="5"/>
        <v>112240</v>
      </c>
      <c r="L80" s="241" t="s">
        <v>491</v>
      </c>
      <c r="O80" s="250"/>
    </row>
    <row r="81" spans="1:18" ht="15.75" thickBot="1">
      <c r="A81" s="119">
        <v>41890</v>
      </c>
      <c r="B81" s="118">
        <v>3490</v>
      </c>
      <c r="C81" s="117">
        <v>36220</v>
      </c>
      <c r="D81" s="240">
        <v>2.95</v>
      </c>
      <c r="E81" s="240">
        <f t="shared" si="6"/>
        <v>106849</v>
      </c>
      <c r="F81" s="241" t="s">
        <v>491</v>
      </c>
      <c r="H81" s="116">
        <v>42182</v>
      </c>
      <c r="I81" s="114">
        <v>31520</v>
      </c>
      <c r="J81" s="101">
        <v>3.05</v>
      </c>
      <c r="K81" s="101">
        <f>I81*J81</f>
        <v>96136</v>
      </c>
      <c r="L81" s="247" t="s">
        <v>491</v>
      </c>
      <c r="O81" s="250"/>
      <c r="R81" s="131"/>
    </row>
    <row r="82" spans="1:18" ht="15.75" thickBot="1">
      <c r="A82" s="119">
        <v>41894</v>
      </c>
      <c r="B82" s="118"/>
      <c r="C82" s="117">
        <v>32420</v>
      </c>
      <c r="D82" s="240">
        <v>2.95</v>
      </c>
      <c r="E82" s="240">
        <f t="shared" si="6"/>
        <v>95639</v>
      </c>
      <c r="F82" s="241" t="s">
        <v>491</v>
      </c>
      <c r="H82" s="238" t="s">
        <v>496</v>
      </c>
      <c r="I82" s="95">
        <f>SUM(I65:I81)</f>
        <v>593880</v>
      </c>
      <c r="J82" s="91"/>
      <c r="K82" s="94">
        <f>SUM(K65:K81)</f>
        <v>1852590</v>
      </c>
      <c r="L82" s="89"/>
      <c r="O82" s="250"/>
    </row>
    <row r="83" spans="1:18">
      <c r="A83" s="119">
        <v>41897</v>
      </c>
      <c r="B83" s="118"/>
      <c r="C83" s="117">
        <v>35300</v>
      </c>
      <c r="D83" s="240">
        <v>2.95</v>
      </c>
      <c r="E83" s="240">
        <f t="shared" si="6"/>
        <v>104135</v>
      </c>
      <c r="F83" s="241" t="s">
        <v>491</v>
      </c>
      <c r="O83" s="250"/>
    </row>
    <row r="84" spans="1:18" ht="15.75" thickBot="1">
      <c r="A84" s="119">
        <v>41899</v>
      </c>
      <c r="B84" s="118"/>
      <c r="C84" s="117">
        <v>37460</v>
      </c>
      <c r="D84" s="240">
        <v>2.95</v>
      </c>
      <c r="E84" s="240">
        <f t="shared" si="6"/>
        <v>110507</v>
      </c>
      <c r="F84" s="241" t="s">
        <v>491</v>
      </c>
      <c r="O84" s="250"/>
      <c r="P84" s="96"/>
    </row>
    <row r="85" spans="1:18" ht="15.75" thickBot="1">
      <c r="A85" s="116">
        <v>41902</v>
      </c>
      <c r="B85" s="115"/>
      <c r="C85" s="114">
        <v>36020</v>
      </c>
      <c r="D85" s="246">
        <v>2.95</v>
      </c>
      <c r="E85" s="246">
        <f t="shared" si="6"/>
        <v>106259</v>
      </c>
      <c r="F85" s="247" t="s">
        <v>491</v>
      </c>
      <c r="H85" s="242" t="s">
        <v>489</v>
      </c>
      <c r="I85" s="100" t="s">
        <v>487</v>
      </c>
      <c r="J85" s="243" t="s">
        <v>486</v>
      </c>
      <c r="K85" s="99" t="s">
        <v>485</v>
      </c>
      <c r="L85" s="98" t="s">
        <v>484</v>
      </c>
      <c r="O85" s="250"/>
      <c r="P85" s="96"/>
    </row>
    <row r="86" spans="1:18" ht="15.75" thickBot="1">
      <c r="A86" s="723" t="s">
        <v>495</v>
      </c>
      <c r="B86" s="724"/>
      <c r="C86" s="95">
        <f>SUM(C78:C85)</f>
        <v>284920</v>
      </c>
      <c r="D86" s="91"/>
      <c r="E86" s="94">
        <f>SUM(E78:E85)</f>
        <v>840514</v>
      </c>
      <c r="F86" s="89"/>
      <c r="H86" s="122">
        <v>42217</v>
      </c>
      <c r="I86" s="120">
        <v>38160</v>
      </c>
      <c r="J86" s="126">
        <v>2.96</v>
      </c>
      <c r="K86" s="126">
        <f>I86*J86</f>
        <v>112953.60000000001</v>
      </c>
      <c r="L86" s="245" t="s">
        <v>491</v>
      </c>
      <c r="M86" s="125"/>
      <c r="O86" s="250"/>
      <c r="P86" s="124"/>
    </row>
    <row r="87" spans="1:18" ht="15.75" thickBot="1">
      <c r="A87" s="93"/>
      <c r="B87" s="93"/>
      <c r="C87" s="92"/>
      <c r="D87" s="91"/>
      <c r="E87" s="90"/>
      <c r="F87" s="89"/>
      <c r="H87" s="119">
        <v>42220</v>
      </c>
      <c r="I87" s="117">
        <v>38780</v>
      </c>
      <c r="J87" s="123">
        <v>2.96</v>
      </c>
      <c r="K87" s="123">
        <f>+I87*J87</f>
        <v>114788.8</v>
      </c>
      <c r="L87" s="241" t="s">
        <v>491</v>
      </c>
      <c r="O87" s="250"/>
      <c r="P87" s="96"/>
    </row>
    <row r="88" spans="1:18" ht="15.75" thickBot="1">
      <c r="A88" s="242" t="s">
        <v>489</v>
      </c>
      <c r="B88" s="243" t="s">
        <v>488</v>
      </c>
      <c r="C88" s="100" t="s">
        <v>487</v>
      </c>
      <c r="D88" s="243" t="s">
        <v>486</v>
      </c>
      <c r="E88" s="99" t="s">
        <v>485</v>
      </c>
      <c r="F88" s="98" t="s">
        <v>484</v>
      </c>
      <c r="H88" s="119">
        <v>42221</v>
      </c>
      <c r="I88" s="117">
        <v>39040</v>
      </c>
      <c r="J88" s="123">
        <v>2.96</v>
      </c>
      <c r="K88" s="123">
        <f>+I88*J88</f>
        <v>115558.39999999999</v>
      </c>
      <c r="L88" s="241" t="s">
        <v>491</v>
      </c>
      <c r="O88" s="87"/>
      <c r="P88" s="96"/>
    </row>
    <row r="89" spans="1:18">
      <c r="A89" s="122">
        <v>41926</v>
      </c>
      <c r="B89" s="121"/>
      <c r="C89" s="120">
        <v>35040</v>
      </c>
      <c r="D89" s="244">
        <v>2.95</v>
      </c>
      <c r="E89" s="244">
        <f t="shared" ref="E89:E95" si="7">D89*C89</f>
        <v>103368</v>
      </c>
      <c r="F89" s="245" t="s">
        <v>491</v>
      </c>
      <c r="H89" s="119">
        <v>42226</v>
      </c>
      <c r="I89" s="117">
        <v>39660</v>
      </c>
      <c r="J89" s="123">
        <v>2.96</v>
      </c>
      <c r="K89" s="123">
        <f>J89*I89</f>
        <v>117393.60000000001</v>
      </c>
      <c r="L89" s="241" t="s">
        <v>491</v>
      </c>
      <c r="O89" s="87"/>
      <c r="P89" s="89"/>
    </row>
    <row r="90" spans="1:18">
      <c r="A90" s="119">
        <v>41927</v>
      </c>
      <c r="B90" s="118"/>
      <c r="C90" s="117">
        <v>34980</v>
      </c>
      <c r="D90" s="240">
        <v>2.95</v>
      </c>
      <c r="E90" s="240">
        <f t="shared" si="7"/>
        <v>103191</v>
      </c>
      <c r="F90" s="241" t="s">
        <v>491</v>
      </c>
      <c r="H90" s="119">
        <v>42227</v>
      </c>
      <c r="I90" s="117">
        <v>39880</v>
      </c>
      <c r="J90" s="123">
        <v>2.96</v>
      </c>
      <c r="K90" s="123">
        <f>J90*I90</f>
        <v>118044.8</v>
      </c>
      <c r="L90" s="241" t="s">
        <v>491</v>
      </c>
      <c r="M90" s="125"/>
      <c r="O90" s="87"/>
      <c r="P90" s="130"/>
    </row>
    <row r="91" spans="1:18">
      <c r="A91" s="119">
        <v>41929</v>
      </c>
      <c r="B91" s="118"/>
      <c r="C91" s="117">
        <v>35080</v>
      </c>
      <c r="D91" s="240">
        <v>2.95</v>
      </c>
      <c r="E91" s="240">
        <f t="shared" si="7"/>
        <v>103486</v>
      </c>
      <c r="F91" s="241" t="s">
        <v>491</v>
      </c>
      <c r="H91" s="119">
        <v>42228</v>
      </c>
      <c r="I91" s="117">
        <v>40060</v>
      </c>
      <c r="J91" s="123">
        <v>2.96</v>
      </c>
      <c r="K91" s="123">
        <f t="shared" ref="K91:K99" si="8">J91*I91</f>
        <v>118577.60000000001</v>
      </c>
      <c r="L91" s="241" t="s">
        <v>491</v>
      </c>
      <c r="O91" s="87"/>
      <c r="P91" s="89"/>
    </row>
    <row r="92" spans="1:18">
      <c r="A92" s="119">
        <v>41930</v>
      </c>
      <c r="B92" s="118"/>
      <c r="C92" s="117">
        <v>36740</v>
      </c>
      <c r="D92" s="240">
        <v>2.95</v>
      </c>
      <c r="E92" s="240">
        <f t="shared" si="7"/>
        <v>108383</v>
      </c>
      <c r="F92" s="241" t="s">
        <v>491</v>
      </c>
      <c r="H92" s="119">
        <v>42228</v>
      </c>
      <c r="I92" s="129">
        <v>39960</v>
      </c>
      <c r="J92" s="106">
        <v>2.96</v>
      </c>
      <c r="K92" s="123">
        <f t="shared" si="8"/>
        <v>118281.60000000001</v>
      </c>
      <c r="L92" s="241" t="s">
        <v>491</v>
      </c>
      <c r="O92" s="87"/>
      <c r="P92" s="89"/>
    </row>
    <row r="93" spans="1:18">
      <c r="A93" s="119">
        <v>41935</v>
      </c>
      <c r="B93" s="118"/>
      <c r="C93" s="117">
        <v>36300</v>
      </c>
      <c r="D93" s="240">
        <v>2.95</v>
      </c>
      <c r="E93" s="240">
        <f t="shared" si="7"/>
        <v>107085</v>
      </c>
      <c r="F93" s="241" t="s">
        <v>491</v>
      </c>
      <c r="H93" s="119">
        <v>42233</v>
      </c>
      <c r="I93" s="129">
        <v>40820</v>
      </c>
      <c r="J93" s="106">
        <v>2.96</v>
      </c>
      <c r="K93" s="123">
        <f t="shared" si="8"/>
        <v>120827.2</v>
      </c>
      <c r="L93" s="241" t="s">
        <v>491</v>
      </c>
      <c r="O93" s="87"/>
      <c r="P93" s="89"/>
    </row>
    <row r="94" spans="1:18">
      <c r="A94" s="119">
        <v>41936</v>
      </c>
      <c r="B94" s="118"/>
      <c r="C94" s="117">
        <v>36280</v>
      </c>
      <c r="D94" s="240">
        <v>2.95</v>
      </c>
      <c r="E94" s="240">
        <f t="shared" si="7"/>
        <v>107026</v>
      </c>
      <c r="F94" s="241" t="s">
        <v>491</v>
      </c>
      <c r="H94" s="119">
        <v>42233</v>
      </c>
      <c r="I94" s="129">
        <v>38900</v>
      </c>
      <c r="J94" s="106">
        <v>2.96</v>
      </c>
      <c r="K94" s="123">
        <f t="shared" si="8"/>
        <v>115144</v>
      </c>
      <c r="L94" s="241" t="s">
        <v>491</v>
      </c>
      <c r="O94" s="87"/>
      <c r="P94" s="89"/>
    </row>
    <row r="95" spans="1:18" ht="15.75" thickBot="1">
      <c r="A95" s="116">
        <v>41937</v>
      </c>
      <c r="B95" s="115"/>
      <c r="C95" s="114">
        <v>31060</v>
      </c>
      <c r="D95" s="246">
        <v>2.95</v>
      </c>
      <c r="E95" s="246">
        <f t="shared" si="7"/>
        <v>91627</v>
      </c>
      <c r="F95" s="247" t="s">
        <v>491</v>
      </c>
      <c r="H95" s="119">
        <v>42235</v>
      </c>
      <c r="I95" s="129">
        <v>39920</v>
      </c>
      <c r="J95" s="106">
        <v>2.96</v>
      </c>
      <c r="K95" s="123">
        <f t="shared" si="8"/>
        <v>118163.2</v>
      </c>
      <c r="L95" s="241" t="s">
        <v>491</v>
      </c>
      <c r="O95" s="87"/>
      <c r="P95" s="89"/>
    </row>
    <row r="96" spans="1:18" ht="15.75" thickBot="1">
      <c r="A96" s="723" t="s">
        <v>494</v>
      </c>
      <c r="B96" s="724"/>
      <c r="C96" s="95">
        <f>SUM(C89:C95)</f>
        <v>245480</v>
      </c>
      <c r="D96" s="91"/>
      <c r="E96" s="94">
        <f>SUM(E89:E95)</f>
        <v>724166</v>
      </c>
      <c r="F96" s="89"/>
      <c r="H96" s="119">
        <v>42235</v>
      </c>
      <c r="I96" s="129">
        <v>40060</v>
      </c>
      <c r="J96" s="106">
        <v>2.96</v>
      </c>
      <c r="K96" s="123">
        <f t="shared" si="8"/>
        <v>118577.60000000001</v>
      </c>
      <c r="L96" s="241" t="s">
        <v>491</v>
      </c>
      <c r="O96" s="87"/>
    </row>
    <row r="97" spans="1:17" ht="15.75" thickBot="1">
      <c r="A97" s="93"/>
      <c r="B97" s="93"/>
      <c r="C97" s="92"/>
      <c r="D97" s="91"/>
      <c r="E97" s="90"/>
      <c r="F97" s="89"/>
      <c r="H97" s="119">
        <v>42238</v>
      </c>
      <c r="I97" s="117">
        <v>40080</v>
      </c>
      <c r="J97" s="106">
        <v>2.96</v>
      </c>
      <c r="K97" s="123">
        <f t="shared" si="8"/>
        <v>118636.8</v>
      </c>
      <c r="L97" s="241" t="s">
        <v>491</v>
      </c>
      <c r="O97" s="250"/>
    </row>
    <row r="98" spans="1:17" ht="15.75" thickBot="1">
      <c r="A98" s="242" t="s">
        <v>489</v>
      </c>
      <c r="B98" s="243" t="s">
        <v>488</v>
      </c>
      <c r="C98" s="100" t="s">
        <v>487</v>
      </c>
      <c r="D98" s="243" t="s">
        <v>486</v>
      </c>
      <c r="E98" s="99" t="s">
        <v>485</v>
      </c>
      <c r="F98" s="98" t="s">
        <v>484</v>
      </c>
      <c r="H98" s="119">
        <v>42243</v>
      </c>
      <c r="I98" s="117">
        <v>38400</v>
      </c>
      <c r="J98" s="106">
        <v>2.96</v>
      </c>
      <c r="K98" s="123">
        <f t="shared" si="8"/>
        <v>113664</v>
      </c>
      <c r="L98" s="241" t="s">
        <v>491</v>
      </c>
      <c r="O98" s="250"/>
    </row>
    <row r="99" spans="1:17" ht="15.75" thickBot="1">
      <c r="A99" s="122">
        <v>41953</v>
      </c>
      <c r="B99" s="121">
        <v>3215</v>
      </c>
      <c r="C99" s="120">
        <v>37120</v>
      </c>
      <c r="D99" s="244">
        <v>2.95</v>
      </c>
      <c r="E99" s="244">
        <f>D99*C99</f>
        <v>109504</v>
      </c>
      <c r="F99" s="245" t="s">
        <v>491</v>
      </c>
      <c r="H99" s="116">
        <v>42243</v>
      </c>
      <c r="I99" s="114">
        <v>39980</v>
      </c>
      <c r="J99" s="101">
        <v>2.96</v>
      </c>
      <c r="K99" s="127">
        <f t="shared" si="8"/>
        <v>118340.8</v>
      </c>
      <c r="L99" s="247" t="s">
        <v>491</v>
      </c>
      <c r="O99" s="250"/>
    </row>
    <row r="100" spans="1:17" ht="15.75" thickBot="1">
      <c r="A100" s="119">
        <v>41954</v>
      </c>
      <c r="B100" s="118">
        <v>3216</v>
      </c>
      <c r="C100" s="117">
        <v>38800</v>
      </c>
      <c r="D100" s="240">
        <v>2.95</v>
      </c>
      <c r="E100" s="240">
        <f>D100*C100</f>
        <v>114460</v>
      </c>
      <c r="F100" s="241" t="s">
        <v>491</v>
      </c>
      <c r="H100" s="238" t="s">
        <v>493</v>
      </c>
      <c r="I100" s="95">
        <f>SUM(I86:I99)</f>
        <v>553700</v>
      </c>
      <c r="J100" s="91"/>
      <c r="K100" s="94">
        <f>SUM(K86:K99)</f>
        <v>1638952.0000000002</v>
      </c>
      <c r="L100" s="89"/>
      <c r="O100" s="250"/>
    </row>
    <row r="101" spans="1:17" ht="15.75" thickBot="1">
      <c r="A101" s="119">
        <v>41956</v>
      </c>
      <c r="B101" s="118">
        <v>3218</v>
      </c>
      <c r="C101" s="117">
        <v>37420</v>
      </c>
      <c r="D101" s="240">
        <v>2.95</v>
      </c>
      <c r="E101" s="240">
        <f>D101*C101</f>
        <v>110389</v>
      </c>
      <c r="F101" s="241" t="s">
        <v>491</v>
      </c>
      <c r="O101" s="250"/>
    </row>
    <row r="102" spans="1:17" ht="15.75" thickBot="1">
      <c r="A102" s="119">
        <v>41957</v>
      </c>
      <c r="B102" s="118">
        <v>3221</v>
      </c>
      <c r="C102" s="117">
        <v>36400</v>
      </c>
      <c r="D102" s="240">
        <v>2.95</v>
      </c>
      <c r="E102" s="240">
        <f>D102*C102</f>
        <v>107380</v>
      </c>
      <c r="F102" s="241" t="s">
        <v>491</v>
      </c>
      <c r="H102" s="242" t="s">
        <v>489</v>
      </c>
      <c r="I102" s="100" t="s">
        <v>487</v>
      </c>
      <c r="J102" s="243" t="s">
        <v>486</v>
      </c>
      <c r="K102" s="99" t="s">
        <v>485</v>
      </c>
      <c r="L102" s="98" t="s">
        <v>484</v>
      </c>
      <c r="O102" s="250"/>
      <c r="P102" s="96"/>
    </row>
    <row r="103" spans="1:17" ht="15.75" thickBot="1">
      <c r="A103" s="116">
        <v>41958</v>
      </c>
      <c r="B103" s="115"/>
      <c r="C103" s="114">
        <v>27880</v>
      </c>
      <c r="D103" s="246">
        <v>2.95</v>
      </c>
      <c r="E103" s="246">
        <f>D103*C103</f>
        <v>82246</v>
      </c>
      <c r="F103" s="247" t="s">
        <v>491</v>
      </c>
      <c r="H103" s="122">
        <v>42249</v>
      </c>
      <c r="I103" s="120">
        <v>42040</v>
      </c>
      <c r="J103" s="126">
        <v>2.96</v>
      </c>
      <c r="K103" s="126">
        <f>I103*J103</f>
        <v>124438.39999999999</v>
      </c>
      <c r="L103" s="245" t="s">
        <v>491</v>
      </c>
      <c r="M103" s="125"/>
      <c r="O103" s="250"/>
      <c r="P103" s="124"/>
    </row>
    <row r="104" spans="1:17" ht="15.75" thickBot="1">
      <c r="A104" s="723" t="s">
        <v>492</v>
      </c>
      <c r="B104" s="724"/>
      <c r="C104" s="95">
        <f>SUM(C99:C103)</f>
        <v>177620</v>
      </c>
      <c r="D104" s="91"/>
      <c r="E104" s="94">
        <f>SUM(E99:E103)</f>
        <v>523979</v>
      </c>
      <c r="F104" s="89"/>
      <c r="H104" s="119">
        <v>42249</v>
      </c>
      <c r="I104" s="117">
        <v>39920</v>
      </c>
      <c r="J104" s="123">
        <v>2.96</v>
      </c>
      <c r="K104" s="123">
        <f>+I104*J104</f>
        <v>118163.2</v>
      </c>
      <c r="L104" s="241" t="s">
        <v>491</v>
      </c>
      <c r="O104" s="250"/>
      <c r="P104" s="96"/>
    </row>
    <row r="105" spans="1:17" ht="15.75" thickBot="1">
      <c r="A105" s="93"/>
      <c r="B105" s="93"/>
      <c r="C105" s="92"/>
      <c r="D105" s="91"/>
      <c r="E105" s="90"/>
      <c r="F105" s="89"/>
      <c r="H105" s="119">
        <v>42250</v>
      </c>
      <c r="I105" s="117">
        <v>40140</v>
      </c>
      <c r="J105" s="123">
        <v>2.96</v>
      </c>
      <c r="K105" s="123">
        <f>+I105*J105</f>
        <v>118814.39999999999</v>
      </c>
      <c r="L105" s="241" t="s">
        <v>491</v>
      </c>
      <c r="O105" s="250"/>
      <c r="P105" s="96"/>
    </row>
    <row r="106" spans="1:17" ht="15.75" thickBot="1">
      <c r="A106" s="242" t="s">
        <v>489</v>
      </c>
      <c r="B106" s="243" t="s">
        <v>488</v>
      </c>
      <c r="C106" s="100" t="s">
        <v>487</v>
      </c>
      <c r="D106" s="243" t="s">
        <v>486</v>
      </c>
      <c r="E106" s="99" t="s">
        <v>485</v>
      </c>
      <c r="F106" s="98" t="s">
        <v>484</v>
      </c>
      <c r="H106" s="109">
        <v>42254</v>
      </c>
      <c r="I106" s="107">
        <v>40700</v>
      </c>
      <c r="J106" s="106">
        <v>2.88</v>
      </c>
      <c r="K106" s="106">
        <f>+I106*J106</f>
        <v>117216</v>
      </c>
      <c r="L106" s="139" t="s">
        <v>491</v>
      </c>
      <c r="O106" s="250"/>
      <c r="P106" s="96"/>
    </row>
    <row r="107" spans="1:17">
      <c r="A107" s="122">
        <v>41974</v>
      </c>
      <c r="B107" s="121"/>
      <c r="C107" s="120">
        <v>34000</v>
      </c>
      <c r="D107" s="244">
        <v>2.95</v>
      </c>
      <c r="E107" s="244">
        <f t="shared" ref="E107:E113" si="9">D107*C107</f>
        <v>100300</v>
      </c>
      <c r="F107" s="245" t="s">
        <v>491</v>
      </c>
      <c r="H107" s="109">
        <v>42256</v>
      </c>
      <c r="I107" s="107">
        <v>38020</v>
      </c>
      <c r="J107" s="106">
        <v>2.88</v>
      </c>
      <c r="K107" s="106">
        <f t="shared" ref="K107:K112" si="10">+I107*J107</f>
        <v>109497.59999999999</v>
      </c>
      <c r="L107" s="139" t="s">
        <v>491</v>
      </c>
      <c r="O107" s="250"/>
    </row>
    <row r="108" spans="1:17">
      <c r="A108" s="119">
        <v>41975</v>
      </c>
      <c r="B108" s="118"/>
      <c r="C108" s="117">
        <v>34200</v>
      </c>
      <c r="D108" s="240">
        <v>2.95</v>
      </c>
      <c r="E108" s="240">
        <f t="shared" si="9"/>
        <v>100890</v>
      </c>
      <c r="F108" s="241" t="s">
        <v>491</v>
      </c>
      <c r="H108" s="109">
        <v>42257</v>
      </c>
      <c r="I108" s="107">
        <v>39700</v>
      </c>
      <c r="J108" s="106">
        <v>2.88</v>
      </c>
      <c r="K108" s="106">
        <f t="shared" si="10"/>
        <v>114336</v>
      </c>
      <c r="L108" s="139" t="s">
        <v>491</v>
      </c>
      <c r="O108" s="250"/>
    </row>
    <row r="109" spans="1:17">
      <c r="A109" s="119">
        <v>41978</v>
      </c>
      <c r="B109" s="118"/>
      <c r="C109" s="117">
        <v>35320</v>
      </c>
      <c r="D109" s="240">
        <v>2.95</v>
      </c>
      <c r="E109" s="240">
        <f t="shared" si="9"/>
        <v>104194</v>
      </c>
      <c r="F109" s="241" t="s">
        <v>491</v>
      </c>
      <c r="H109" s="109">
        <v>42258</v>
      </c>
      <c r="I109" s="107">
        <f>41880-2240</f>
        <v>39640</v>
      </c>
      <c r="J109" s="106">
        <v>2.88</v>
      </c>
      <c r="K109" s="106">
        <f t="shared" si="10"/>
        <v>114163.2</v>
      </c>
      <c r="L109" s="139" t="s">
        <v>491</v>
      </c>
      <c r="O109" s="250"/>
      <c r="Q109" s="85"/>
    </row>
    <row r="110" spans="1:17">
      <c r="A110" s="119">
        <v>41979</v>
      </c>
      <c r="B110" s="118"/>
      <c r="C110" s="117">
        <v>33180</v>
      </c>
      <c r="D110" s="240">
        <v>2.95</v>
      </c>
      <c r="E110" s="240">
        <f t="shared" si="9"/>
        <v>97881</v>
      </c>
      <c r="F110" s="241" t="s">
        <v>491</v>
      </c>
      <c r="H110" s="109">
        <v>42259</v>
      </c>
      <c r="I110" s="107">
        <v>26240</v>
      </c>
      <c r="J110" s="106">
        <v>2.88</v>
      </c>
      <c r="K110" s="106">
        <f t="shared" si="10"/>
        <v>75571.199999999997</v>
      </c>
      <c r="L110" s="139" t="s">
        <v>491</v>
      </c>
      <c r="O110" s="250"/>
    </row>
    <row r="111" spans="1:17">
      <c r="A111" s="119">
        <v>41992</v>
      </c>
      <c r="B111" s="118"/>
      <c r="C111" s="117">
        <v>34360</v>
      </c>
      <c r="D111" s="240">
        <v>2.95</v>
      </c>
      <c r="E111" s="240">
        <f t="shared" si="9"/>
        <v>101362</v>
      </c>
      <c r="F111" s="241" t="s">
        <v>491</v>
      </c>
      <c r="H111" s="109">
        <v>42261</v>
      </c>
      <c r="I111" s="107">
        <v>35440</v>
      </c>
      <c r="J111" s="106">
        <v>2.88</v>
      </c>
      <c r="K111" s="106">
        <f t="shared" si="10"/>
        <v>102067.2</v>
      </c>
      <c r="L111" s="139" t="s">
        <v>491</v>
      </c>
      <c r="O111" s="250"/>
    </row>
    <row r="112" spans="1:17" ht="15.75" thickBot="1">
      <c r="A112" s="119">
        <v>41995</v>
      </c>
      <c r="B112" s="118"/>
      <c r="C112" s="117">
        <v>34620</v>
      </c>
      <c r="D112" s="240">
        <v>2.95</v>
      </c>
      <c r="E112" s="240">
        <f t="shared" si="9"/>
        <v>102129</v>
      </c>
      <c r="F112" s="241" t="s">
        <v>491</v>
      </c>
      <c r="H112" s="104">
        <v>42263</v>
      </c>
      <c r="I112" s="102">
        <v>30820</v>
      </c>
      <c r="J112" s="101">
        <v>2.88</v>
      </c>
      <c r="K112" s="101">
        <f t="shared" si="10"/>
        <v>88761.599999999991</v>
      </c>
      <c r="L112" s="153" t="s">
        <v>491</v>
      </c>
      <c r="O112" s="250"/>
    </row>
    <row r="113" spans="1:18" ht="15.75" thickBot="1">
      <c r="A113" s="116">
        <v>42002</v>
      </c>
      <c r="B113" s="115"/>
      <c r="C113" s="114">
        <v>31840</v>
      </c>
      <c r="D113" s="246">
        <v>2.95</v>
      </c>
      <c r="E113" s="246">
        <f t="shared" si="9"/>
        <v>93928</v>
      </c>
      <c r="F113" s="247" t="s">
        <v>491</v>
      </c>
      <c r="H113" s="238" t="s">
        <v>483</v>
      </c>
      <c r="I113" s="95">
        <f>SUM(I103:I112)</f>
        <v>372660</v>
      </c>
      <c r="J113" s="91"/>
      <c r="K113" s="94">
        <f>SUM(K103:K106)</f>
        <v>478632</v>
      </c>
      <c r="L113" s="89"/>
      <c r="O113" s="250"/>
    </row>
    <row r="114" spans="1:18" ht="15.75" thickBot="1">
      <c r="A114" s="723" t="s">
        <v>490</v>
      </c>
      <c r="B114" s="724"/>
      <c r="C114" s="95">
        <f>SUM(C107:C113)</f>
        <v>237520</v>
      </c>
      <c r="D114" s="91"/>
      <c r="E114" s="94">
        <f>SUM(E107:E113)</f>
        <v>700684</v>
      </c>
      <c r="F114" s="89"/>
      <c r="L114" s="89"/>
      <c r="O114" s="250"/>
    </row>
    <row r="115" spans="1:18" ht="15.75" thickBot="1">
      <c r="A115" s="93"/>
      <c r="B115" s="93"/>
      <c r="C115" s="92"/>
      <c r="D115" s="91"/>
      <c r="E115" s="90"/>
      <c r="F115" s="89"/>
      <c r="H115" s="242" t="s">
        <v>489</v>
      </c>
      <c r="I115" s="100" t="s">
        <v>487</v>
      </c>
      <c r="J115" s="243" t="s">
        <v>486</v>
      </c>
      <c r="K115" s="99" t="s">
        <v>485</v>
      </c>
      <c r="L115" s="98" t="s">
        <v>484</v>
      </c>
      <c r="O115" s="250"/>
      <c r="P115" s="96"/>
    </row>
    <row r="116" spans="1:18">
      <c r="A116" s="93"/>
      <c r="B116" s="93"/>
      <c r="C116" s="92"/>
      <c r="D116" s="91"/>
      <c r="E116" s="90"/>
      <c r="F116" s="89"/>
      <c r="H116" s="113">
        <v>42285</v>
      </c>
      <c r="I116" s="111">
        <v>39960</v>
      </c>
      <c r="J116" s="110">
        <v>2.88</v>
      </c>
      <c r="K116" s="110">
        <f>+I116*J116</f>
        <v>115084.8</v>
      </c>
      <c r="L116" s="141" t="s">
        <v>491</v>
      </c>
      <c r="O116" s="250"/>
      <c r="P116" s="96"/>
    </row>
    <row r="117" spans="1:18">
      <c r="H117" s="109">
        <v>42287</v>
      </c>
      <c r="I117" s="107">
        <v>40040</v>
      </c>
      <c r="J117" s="106">
        <v>2.88</v>
      </c>
      <c r="K117" s="106">
        <f>J117*I117</f>
        <v>115315.2</v>
      </c>
      <c r="L117" s="139" t="s">
        <v>491</v>
      </c>
      <c r="O117" s="250"/>
    </row>
    <row r="118" spans="1:18">
      <c r="H118" s="109">
        <v>42293</v>
      </c>
      <c r="I118" s="107">
        <v>39820</v>
      </c>
      <c r="J118" s="106">
        <v>2.88</v>
      </c>
      <c r="K118" s="106">
        <f t="shared" ref="K118:K119" si="11">J118*I118</f>
        <v>114681.59999999999</v>
      </c>
      <c r="L118" s="139" t="s">
        <v>491</v>
      </c>
      <c r="O118" s="250"/>
    </row>
    <row r="119" spans="1:18" ht="15.75" thickBot="1">
      <c r="H119" s="104">
        <v>42293</v>
      </c>
      <c r="I119" s="102">
        <v>39940</v>
      </c>
      <c r="J119" s="101">
        <v>2.88</v>
      </c>
      <c r="K119" s="101">
        <f t="shared" si="11"/>
        <v>115027.2</v>
      </c>
      <c r="L119" s="153" t="s">
        <v>491</v>
      </c>
      <c r="O119" s="250"/>
      <c r="Q119" s="85"/>
    </row>
    <row r="120" spans="1:18" ht="15.75" thickBot="1">
      <c r="H120" s="238" t="s">
        <v>622</v>
      </c>
      <c r="I120" s="95">
        <f>SUM(I116:I119)</f>
        <v>159760</v>
      </c>
      <c r="J120" s="91"/>
      <c r="K120" s="94">
        <f>SUM(K116:K119)</f>
        <v>460108.79999999999</v>
      </c>
      <c r="L120" s="89"/>
      <c r="O120" s="250"/>
    </row>
    <row r="121" spans="1:18" ht="15.75" thickBot="1">
      <c r="O121" s="250"/>
    </row>
    <row r="122" spans="1:18" ht="15.75" thickBot="1">
      <c r="H122" s="242" t="s">
        <v>489</v>
      </c>
      <c r="I122" s="100" t="s">
        <v>487</v>
      </c>
      <c r="J122" s="243" t="s">
        <v>486</v>
      </c>
      <c r="K122" s="99" t="s">
        <v>485</v>
      </c>
      <c r="L122" s="98" t="s">
        <v>484</v>
      </c>
      <c r="O122" s="250"/>
    </row>
    <row r="123" spans="1:18">
      <c r="H123" s="122" t="s">
        <v>624</v>
      </c>
      <c r="I123" s="120">
        <v>4398</v>
      </c>
      <c r="J123" s="126">
        <v>23.419</v>
      </c>
      <c r="K123" s="126">
        <f>+I123*J123</f>
        <v>102996.762</v>
      </c>
      <c r="L123" s="712" t="s">
        <v>491</v>
      </c>
      <c r="O123" s="250"/>
    </row>
    <row r="124" spans="1:18" ht="15.75" thickBot="1">
      <c r="H124" s="116" t="s">
        <v>625</v>
      </c>
      <c r="I124" s="114">
        <v>505</v>
      </c>
      <c r="J124" s="127">
        <v>2</v>
      </c>
      <c r="K124" s="127">
        <f>J124*I124</f>
        <v>1010</v>
      </c>
      <c r="L124" s="713"/>
      <c r="O124" s="250"/>
    </row>
    <row r="125" spans="1:18" ht="15.75" thickBot="1">
      <c r="G125" s="84"/>
      <c r="H125" s="249" t="s">
        <v>505</v>
      </c>
      <c r="I125" s="95">
        <f>SUM(I123:I123)</f>
        <v>4398</v>
      </c>
      <c r="J125" s="91"/>
      <c r="K125" s="94">
        <f>SUM(K123:K124)</f>
        <v>104006.762</v>
      </c>
      <c r="L125" s="89"/>
      <c r="O125" s="250"/>
      <c r="Q125" s="89"/>
      <c r="R125" s="84"/>
    </row>
    <row r="126" spans="1:18" ht="15.75" thickBot="1">
      <c r="G126" s="84"/>
    </row>
    <row r="127" spans="1:18" ht="15.75" thickBot="1">
      <c r="G127" s="84"/>
      <c r="H127" s="242" t="s">
        <v>489</v>
      </c>
      <c r="I127" s="100" t="s">
        <v>487</v>
      </c>
      <c r="J127" s="243" t="s">
        <v>486</v>
      </c>
      <c r="K127" s="99" t="s">
        <v>485</v>
      </c>
      <c r="L127" s="98" t="s">
        <v>484</v>
      </c>
      <c r="N127" s="97"/>
      <c r="O127" s="97"/>
      <c r="P127" s="96"/>
    </row>
    <row r="128" spans="1:18" hidden="1">
      <c r="G128" s="84"/>
      <c r="H128" s="113">
        <v>42314</v>
      </c>
      <c r="I128" s="111">
        <v>40040</v>
      </c>
      <c r="J128" s="110">
        <v>2.8330000000000002</v>
      </c>
      <c r="K128" s="110">
        <f>+I128*J128</f>
        <v>113433.32</v>
      </c>
      <c r="L128" s="141" t="s">
        <v>491</v>
      </c>
      <c r="O128" s="87"/>
      <c r="P128" s="96"/>
      <c r="Q128" s="89"/>
      <c r="R128" s="359"/>
    </row>
    <row r="129" spans="7:18" hidden="1">
      <c r="G129" s="84"/>
      <c r="H129" s="109">
        <v>42314</v>
      </c>
      <c r="I129" s="107">
        <v>39920</v>
      </c>
      <c r="J129" s="106">
        <v>2.8330000000000002</v>
      </c>
      <c r="K129" s="106">
        <f t="shared" ref="K129:K135" si="12">+I129*J129</f>
        <v>113093.36</v>
      </c>
      <c r="L129" s="139" t="s">
        <v>491</v>
      </c>
      <c r="O129" s="87"/>
      <c r="Q129" s="89"/>
      <c r="R129" s="359"/>
    </row>
    <row r="130" spans="7:18" hidden="1">
      <c r="G130" s="84"/>
      <c r="H130" s="109">
        <v>42319</v>
      </c>
      <c r="I130" s="107">
        <v>40040</v>
      </c>
      <c r="J130" s="106">
        <v>2.8330000000000002</v>
      </c>
      <c r="K130" s="106">
        <f t="shared" si="12"/>
        <v>113433.32</v>
      </c>
      <c r="L130" s="105" t="s">
        <v>491</v>
      </c>
      <c r="O130" s="87"/>
      <c r="Q130" s="89"/>
      <c r="R130" s="359"/>
    </row>
    <row r="131" spans="7:18" hidden="1">
      <c r="H131" s="109">
        <v>42319</v>
      </c>
      <c r="I131" s="107">
        <v>39800</v>
      </c>
      <c r="J131" s="106">
        <v>2.8330000000000002</v>
      </c>
      <c r="K131" s="106">
        <f t="shared" si="12"/>
        <v>112753.40000000001</v>
      </c>
      <c r="L131" s="105" t="s">
        <v>491</v>
      </c>
      <c r="O131" s="87"/>
      <c r="Q131" s="89"/>
      <c r="R131" s="359"/>
    </row>
    <row r="132" spans="7:18" hidden="1">
      <c r="H132" s="109">
        <v>42331</v>
      </c>
      <c r="I132" s="107">
        <v>36600</v>
      </c>
      <c r="J132" s="106">
        <v>2.8330000000000002</v>
      </c>
      <c r="K132" s="106">
        <f t="shared" si="12"/>
        <v>103687.8</v>
      </c>
      <c r="L132" s="139" t="s">
        <v>491</v>
      </c>
      <c r="O132" s="87"/>
      <c r="Q132" s="89"/>
      <c r="R132" s="359"/>
    </row>
    <row r="133" spans="7:18">
      <c r="H133" s="109">
        <v>42331</v>
      </c>
      <c r="I133" s="107">
        <v>39480</v>
      </c>
      <c r="J133" s="106">
        <v>2.8330000000000002</v>
      </c>
      <c r="K133" s="106">
        <f t="shared" si="12"/>
        <v>111846.84000000001</v>
      </c>
      <c r="L133" s="139" t="s">
        <v>491</v>
      </c>
      <c r="O133" s="84"/>
      <c r="R133" s="359"/>
    </row>
    <row r="134" spans="7:18">
      <c r="H134" s="109">
        <v>42338</v>
      </c>
      <c r="I134" s="107">
        <v>38560</v>
      </c>
      <c r="J134" s="106">
        <v>2.8330000000000002</v>
      </c>
      <c r="K134" s="106">
        <f t="shared" si="12"/>
        <v>109240.48000000001</v>
      </c>
      <c r="L134" s="105"/>
      <c r="N134" s="84">
        <f t="shared" ref="N134" si="13">K134*0.18</f>
        <v>19663.286400000001</v>
      </c>
      <c r="O134" s="84">
        <f t="shared" ref="O134" si="14">K134+N134+0.5</f>
        <v>128904.26640000001</v>
      </c>
      <c r="P134" s="83" t="s">
        <v>432</v>
      </c>
      <c r="R134" s="359">
        <v>42397</v>
      </c>
    </row>
    <row r="135" spans="7:18" ht="15.75" thickBot="1">
      <c r="H135" s="104">
        <v>42338</v>
      </c>
      <c r="I135" s="102">
        <v>35760</v>
      </c>
      <c r="J135" s="101">
        <v>2.8330000000000002</v>
      </c>
      <c r="K135" s="101">
        <f t="shared" si="12"/>
        <v>101308.08</v>
      </c>
      <c r="L135" s="153" t="s">
        <v>491</v>
      </c>
      <c r="O135" s="84"/>
      <c r="Q135" s="85"/>
      <c r="R135" s="359"/>
    </row>
    <row r="136" spans="7:18" ht="15.75" thickBot="1">
      <c r="H136" s="238" t="s">
        <v>611</v>
      </c>
      <c r="I136" s="95">
        <f>SUM(I128:I135)</f>
        <v>310200</v>
      </c>
      <c r="J136" s="91"/>
      <c r="K136" s="94">
        <f>SUM(K128:K135)</f>
        <v>878796.6</v>
      </c>
      <c r="L136" s="89"/>
      <c r="O136" s="84"/>
    </row>
    <row r="137" spans="7:18" ht="15.75" thickBot="1">
      <c r="O137" s="84"/>
    </row>
    <row r="138" spans="7:18" ht="15.75" thickBot="1">
      <c r="H138" s="242" t="s">
        <v>489</v>
      </c>
      <c r="I138" s="100" t="s">
        <v>487</v>
      </c>
      <c r="J138" s="243" t="s">
        <v>486</v>
      </c>
      <c r="K138" s="99" t="s">
        <v>485</v>
      </c>
      <c r="L138" s="98" t="s">
        <v>484</v>
      </c>
      <c r="O138" s="84"/>
    </row>
    <row r="139" spans="7:18">
      <c r="H139" s="113">
        <v>42345</v>
      </c>
      <c r="I139" s="111">
        <v>38740</v>
      </c>
      <c r="J139" s="110">
        <v>2.9</v>
      </c>
      <c r="K139" s="110">
        <f>+I139*J139</f>
        <v>112346</v>
      </c>
      <c r="L139" s="358"/>
      <c r="N139" s="84">
        <f t="shared" ref="N139:N142" si="15">K139*0.18</f>
        <v>20222.28</v>
      </c>
      <c r="O139" s="84">
        <f>K139+N139+0.5</f>
        <v>132568.78</v>
      </c>
      <c r="P139" s="83" t="s">
        <v>432</v>
      </c>
      <c r="R139" s="359">
        <v>42408</v>
      </c>
    </row>
    <row r="140" spans="7:18">
      <c r="H140" s="109">
        <v>42345</v>
      </c>
      <c r="I140" s="107">
        <v>40200</v>
      </c>
      <c r="J140" s="106">
        <v>2.9</v>
      </c>
      <c r="K140" s="106">
        <f>J140*I140</f>
        <v>116580</v>
      </c>
      <c r="L140" s="105"/>
      <c r="N140" s="84">
        <f t="shared" si="15"/>
        <v>20984.399999999998</v>
      </c>
      <c r="O140" s="482">
        <f>K140+N140+0.5</f>
        <v>137564.9</v>
      </c>
      <c r="P140" s="83" t="s">
        <v>432</v>
      </c>
      <c r="R140" s="359">
        <v>42412</v>
      </c>
    </row>
    <row r="141" spans="7:18">
      <c r="H141" s="109">
        <v>42353</v>
      </c>
      <c r="I141" s="107">
        <v>40020</v>
      </c>
      <c r="J141" s="106">
        <v>2.9</v>
      </c>
      <c r="K141" s="106">
        <f t="shared" ref="K141:K142" si="16">J141*I141</f>
        <v>116058</v>
      </c>
      <c r="L141" s="105"/>
      <c r="N141" s="84">
        <f t="shared" si="15"/>
        <v>20890.439999999999</v>
      </c>
      <c r="O141" s="482">
        <f>K141+N141+0.5</f>
        <v>136948.94</v>
      </c>
      <c r="P141" s="83" t="s">
        <v>432</v>
      </c>
      <c r="R141" s="359">
        <v>42416</v>
      </c>
    </row>
    <row r="142" spans="7:18">
      <c r="H142" s="109">
        <v>42353</v>
      </c>
      <c r="I142" s="107">
        <v>40000</v>
      </c>
      <c r="J142" s="106">
        <v>2.9</v>
      </c>
      <c r="K142" s="106">
        <f t="shared" si="16"/>
        <v>116000</v>
      </c>
      <c r="L142" s="105"/>
      <c r="N142" s="84">
        <f t="shared" si="15"/>
        <v>20880</v>
      </c>
      <c r="O142" s="482">
        <f>K142+N142+0.5</f>
        <v>136880.5</v>
      </c>
      <c r="P142" s="83" t="s">
        <v>432</v>
      </c>
      <c r="R142" s="359">
        <v>42420</v>
      </c>
    </row>
    <row r="143" spans="7:18">
      <c r="H143" s="109">
        <v>42356</v>
      </c>
      <c r="I143" s="107">
        <v>40020</v>
      </c>
      <c r="J143" s="106">
        <v>2.9</v>
      </c>
      <c r="K143" s="106">
        <f t="shared" ref="K143:K144" si="17">J143*I143</f>
        <v>116058</v>
      </c>
      <c r="L143" s="105"/>
      <c r="N143" s="84">
        <f t="shared" ref="N143:N144" si="18">K143*0.18</f>
        <v>20890.439999999999</v>
      </c>
      <c r="O143" s="482">
        <f t="shared" ref="O143:O144" si="19">K143+N143+0.5</f>
        <v>136948.94</v>
      </c>
      <c r="P143" s="83" t="s">
        <v>432</v>
      </c>
      <c r="R143" s="359">
        <v>42424</v>
      </c>
    </row>
    <row r="144" spans="7:18" ht="15.75" thickBot="1">
      <c r="H144" s="104">
        <v>42356</v>
      </c>
      <c r="I144" s="102">
        <v>40060</v>
      </c>
      <c r="J144" s="101">
        <v>2.9</v>
      </c>
      <c r="K144" s="101">
        <f t="shared" si="17"/>
        <v>116174</v>
      </c>
      <c r="L144" s="331"/>
      <c r="N144" s="84">
        <f t="shared" si="18"/>
        <v>20911.32</v>
      </c>
      <c r="O144" s="482">
        <f t="shared" si="19"/>
        <v>137085.82</v>
      </c>
      <c r="P144" s="83" t="s">
        <v>432</v>
      </c>
      <c r="R144" s="359">
        <v>42428</v>
      </c>
    </row>
    <row r="145" spans="8:18" ht="15.75" thickBot="1">
      <c r="H145" s="249" t="s">
        <v>623</v>
      </c>
      <c r="I145" s="95">
        <f>SUM(I139:I144)</f>
        <v>239040</v>
      </c>
      <c r="J145" s="91"/>
      <c r="K145" s="94">
        <f>SUM(K139:K144)</f>
        <v>693216</v>
      </c>
      <c r="L145" s="89"/>
    </row>
    <row r="146" spans="8:18" ht="15.75" thickBot="1"/>
    <row r="147" spans="8:18" ht="15.75" thickBot="1">
      <c r="H147" s="307" t="s">
        <v>489</v>
      </c>
      <c r="I147" s="100" t="s">
        <v>487</v>
      </c>
      <c r="J147" s="308" t="s">
        <v>486</v>
      </c>
      <c r="K147" s="99" t="s">
        <v>485</v>
      </c>
      <c r="L147" s="98" t="s">
        <v>484</v>
      </c>
      <c r="O147" s="84"/>
    </row>
    <row r="148" spans="8:18">
      <c r="H148" s="113">
        <v>42360</v>
      </c>
      <c r="I148" s="111">
        <v>2866</v>
      </c>
      <c r="J148" s="110">
        <v>3</v>
      </c>
      <c r="K148" s="110">
        <f>+I148*J148</f>
        <v>8598</v>
      </c>
      <c r="L148" s="141" t="s">
        <v>491</v>
      </c>
      <c r="O148" s="84"/>
    </row>
    <row r="149" spans="8:18">
      <c r="H149" s="109">
        <v>42356</v>
      </c>
      <c r="I149" s="107">
        <v>4018</v>
      </c>
      <c r="J149" s="106">
        <v>3</v>
      </c>
      <c r="K149" s="106">
        <f>J149*I149</f>
        <v>12054</v>
      </c>
      <c r="L149" s="139" t="s">
        <v>491</v>
      </c>
      <c r="O149" s="84"/>
    </row>
    <row r="150" spans="8:18" ht="15.75" thickBot="1">
      <c r="H150" s="104">
        <v>42359</v>
      </c>
      <c r="I150" s="102">
        <v>5338</v>
      </c>
      <c r="J150" s="101">
        <v>3</v>
      </c>
      <c r="K150" s="101">
        <f t="shared" ref="K150" si="20">J150*I150</f>
        <v>16014</v>
      </c>
      <c r="L150" s="153" t="s">
        <v>491</v>
      </c>
      <c r="O150" s="84"/>
    </row>
    <row r="151" spans="8:18" ht="15.75" thickBot="1">
      <c r="H151" s="249" t="s">
        <v>623</v>
      </c>
      <c r="I151" s="95">
        <f>SUM(I148:I150)</f>
        <v>12222</v>
      </c>
      <c r="J151" s="91"/>
      <c r="K151" s="94">
        <f>SUM(K148:K148)</f>
        <v>8598</v>
      </c>
      <c r="L151" s="89"/>
    </row>
    <row r="152" spans="8:18" ht="15.75" thickBot="1"/>
    <row r="153" spans="8:18" ht="15.75" thickBot="1">
      <c r="H153" s="332" t="s">
        <v>489</v>
      </c>
      <c r="I153" s="100" t="s">
        <v>487</v>
      </c>
      <c r="J153" s="333" t="s">
        <v>486</v>
      </c>
      <c r="K153" s="99" t="s">
        <v>485</v>
      </c>
      <c r="L153" s="98" t="s">
        <v>484</v>
      </c>
      <c r="O153" s="84"/>
    </row>
    <row r="154" spans="8:18" ht="15.75" thickBot="1">
      <c r="H154" s="104">
        <v>42349</v>
      </c>
      <c r="I154" s="102">
        <v>3006</v>
      </c>
      <c r="J154" s="368">
        <v>24</v>
      </c>
      <c r="K154" s="101">
        <f t="shared" ref="K154" si="21">J154*I154</f>
        <v>72144</v>
      </c>
      <c r="L154" s="331" t="s">
        <v>711</v>
      </c>
      <c r="N154" s="84">
        <f t="shared" ref="N154" si="22">K154*0.18</f>
        <v>12985.92</v>
      </c>
      <c r="O154" s="84">
        <f>K154+N154+0.5</f>
        <v>85130.42</v>
      </c>
    </row>
    <row r="155" spans="8:18" ht="15.75" thickBot="1">
      <c r="H155" s="249" t="s">
        <v>623</v>
      </c>
      <c r="I155" s="95">
        <f>SUM(I154:I154)</f>
        <v>3006</v>
      </c>
      <c r="J155" s="91"/>
      <c r="K155" s="94">
        <f>SUM(K154)</f>
        <v>72144</v>
      </c>
      <c r="L155" s="89"/>
      <c r="R155" s="359">
        <v>42400</v>
      </c>
    </row>
    <row r="156" spans="8:18">
      <c r="H156" s="93"/>
      <c r="I156" s="92"/>
      <c r="J156" s="91"/>
      <c r="K156" s="90"/>
      <c r="L156" s="89"/>
      <c r="N156" s="83"/>
    </row>
    <row r="157" spans="8:18">
      <c r="N157" s="83"/>
    </row>
    <row r="158" spans="8:18">
      <c r="H158" s="93" t="s">
        <v>453</v>
      </c>
      <c r="I158" s="92">
        <f>C86+C75+C68+C54+C45+C34+C29+C16+C96+C104+C114</f>
        <v>2684793</v>
      </c>
      <c r="J158" s="91"/>
      <c r="K158" s="90">
        <f>E86+E75+E68+E54+E45+E34+E29+E16+E96+E104+E114</f>
        <v>7266434.2000000002</v>
      </c>
      <c r="L158" s="87">
        <f>+K158/I158</f>
        <v>2.7065156233646319</v>
      </c>
      <c r="N158" s="83"/>
    </row>
    <row r="159" spans="8:18">
      <c r="H159" s="93" t="s">
        <v>436</v>
      </c>
      <c r="I159" s="92">
        <f>+I6+I12+I23+I41+I60+I82+I100+I113+I120+I136+I145</f>
        <v>3495828</v>
      </c>
      <c r="J159" s="91"/>
      <c r="K159" s="90">
        <f>+K6+K12+K23+K41+K60+K82+K100+K113+K120+K136+K145</f>
        <v>9919137.8000000007</v>
      </c>
      <c r="L159" s="87">
        <f>+K159/I159</f>
        <v>2.8374215779494874</v>
      </c>
      <c r="N159" s="83">
        <f>+K159*0.18</f>
        <v>1785444.804</v>
      </c>
      <c r="O159" s="84">
        <f>+N159+K159</f>
        <v>11704582.604</v>
      </c>
      <c r="R159" s="83">
        <f>+O159*1.5%</f>
        <v>175568.73905999999</v>
      </c>
    </row>
    <row r="160" spans="8:18">
      <c r="H160" s="93"/>
      <c r="I160" s="92"/>
      <c r="J160" s="91"/>
      <c r="K160" s="90"/>
      <c r="L160" s="89"/>
      <c r="N160" s="83"/>
    </row>
    <row r="161" spans="8:18">
      <c r="H161" s="239" t="s">
        <v>482</v>
      </c>
      <c r="I161" s="239"/>
      <c r="J161" s="239"/>
      <c r="K161" s="84"/>
      <c r="N161" s="377"/>
      <c r="O161" s="378"/>
    </row>
    <row r="162" spans="8:18">
      <c r="H162" s="83"/>
      <c r="I162" s="85"/>
      <c r="K162" s="84">
        <f>O139+O140+O141+O142+O143+O148+O149+O150+O154+O133+O134+O135+O144</f>
        <v>1032032.5664000001</v>
      </c>
      <c r="N162" s="377" t="s">
        <v>754</v>
      </c>
      <c r="O162" s="379">
        <v>1701.29</v>
      </c>
    </row>
    <row r="163" spans="8:18">
      <c r="H163" s="83"/>
      <c r="I163" s="85"/>
      <c r="K163" s="84">
        <f>K162*1</f>
        <v>1032032.5664000001</v>
      </c>
      <c r="N163" s="377" t="s">
        <v>755</v>
      </c>
      <c r="O163" s="378">
        <v>2.0321500000000001</v>
      </c>
    </row>
    <row r="164" spans="8:18">
      <c r="H164" s="701" t="s">
        <v>481</v>
      </c>
      <c r="I164" s="701"/>
      <c r="J164" s="701"/>
      <c r="K164" s="87">
        <f>K163-125000</f>
        <v>907032.56640000013</v>
      </c>
      <c r="N164" s="377" t="s">
        <v>756</v>
      </c>
      <c r="O164" s="377">
        <f>O162*O163</f>
        <v>3457.2764735000001</v>
      </c>
      <c r="R164" s="369"/>
    </row>
    <row r="165" spans="8:18">
      <c r="H165" s="701" t="s">
        <v>612</v>
      </c>
      <c r="I165" s="701"/>
      <c r="J165" s="701"/>
      <c r="K165" s="87">
        <f>+I166+I167</f>
        <v>0</v>
      </c>
      <c r="N165" s="380">
        <v>0.85</v>
      </c>
      <c r="O165" s="381">
        <f>O164*N165</f>
        <v>2938.6850024750001</v>
      </c>
    </row>
    <row r="166" spans="8:18">
      <c r="H166" s="239" t="s">
        <v>432</v>
      </c>
      <c r="I166" s="88">
        <v>0</v>
      </c>
      <c r="J166" s="239"/>
      <c r="K166" s="87"/>
      <c r="N166" s="377"/>
      <c r="O166" s="378"/>
    </row>
    <row r="167" spans="8:18">
      <c r="H167" s="239" t="s">
        <v>430</v>
      </c>
      <c r="I167" s="88">
        <f>O125+O128+O129+O130+O131+O132</f>
        <v>0</v>
      </c>
      <c r="J167" s="239"/>
      <c r="K167" s="87"/>
    </row>
    <row r="168" spans="8:18">
      <c r="H168" s="248" t="s">
        <v>480</v>
      </c>
      <c r="I168" s="248"/>
      <c r="J168" s="248"/>
      <c r="K168" s="87">
        <f>K165+K164</f>
        <v>907032.56640000013</v>
      </c>
    </row>
    <row r="169" spans="8:18">
      <c r="H169" s="727" t="s">
        <v>479</v>
      </c>
      <c r="I169" s="727"/>
      <c r="J169" s="727"/>
      <c r="K169" s="87">
        <v>150000</v>
      </c>
    </row>
    <row r="170" spans="8:18">
      <c r="H170" s="727" t="s">
        <v>478</v>
      </c>
      <c r="I170" s="727"/>
      <c r="J170" s="727"/>
      <c r="K170" s="87">
        <v>-25000</v>
      </c>
    </row>
    <row r="209" spans="8:9">
      <c r="H209" s="86"/>
    </row>
    <row r="210" spans="8:9">
      <c r="H210" s="86"/>
    </row>
    <row r="211" spans="8:9">
      <c r="H211" s="86"/>
      <c r="I211" s="83"/>
    </row>
    <row r="212" spans="8:9">
      <c r="H212" s="86"/>
      <c r="I212" s="83"/>
    </row>
    <row r="213" spans="8:9">
      <c r="H213" s="86"/>
    </row>
  </sheetData>
  <mergeCells count="50">
    <mergeCell ref="H164:J164"/>
    <mergeCell ref="H165:J165"/>
    <mergeCell ref="H169:J169"/>
    <mergeCell ref="H170:J170"/>
    <mergeCell ref="A114:B114"/>
    <mergeCell ref="A29:B29"/>
    <mergeCell ref="A96:B96"/>
    <mergeCell ref="A104:B104"/>
    <mergeCell ref="A34:B34"/>
    <mergeCell ref="D23:D24"/>
    <mergeCell ref="A45:B45"/>
    <mergeCell ref="A54:B54"/>
    <mergeCell ref="A68:B68"/>
    <mergeCell ref="A75:B75"/>
    <mergeCell ref="A86:B86"/>
    <mergeCell ref="A16:B16"/>
    <mergeCell ref="D19:D20"/>
    <mergeCell ref="E19:E20"/>
    <mergeCell ref="F19:F20"/>
    <mergeCell ref="D21:D22"/>
    <mergeCell ref="F10:F11"/>
    <mergeCell ref="D14:D15"/>
    <mergeCell ref="E14:E15"/>
    <mergeCell ref="F14:F15"/>
    <mergeCell ref="D27:D28"/>
    <mergeCell ref="E27:E28"/>
    <mergeCell ref="F27:F28"/>
    <mergeCell ref="E21:E22"/>
    <mergeCell ref="F21:F22"/>
    <mergeCell ref="F23:F24"/>
    <mergeCell ref="D25:D26"/>
    <mergeCell ref="E25:E26"/>
    <mergeCell ref="F25:F26"/>
    <mergeCell ref="E23:E24"/>
    <mergeCell ref="L123:L124"/>
    <mergeCell ref="A1:B1"/>
    <mergeCell ref="D4:D5"/>
    <mergeCell ref="E4:E5"/>
    <mergeCell ref="F4:F5"/>
    <mergeCell ref="D6:D7"/>
    <mergeCell ref="E6:E7"/>
    <mergeCell ref="F6:F7"/>
    <mergeCell ref="D12:D13"/>
    <mergeCell ref="E12:E13"/>
    <mergeCell ref="F12:F13"/>
    <mergeCell ref="D8:D9"/>
    <mergeCell ref="E8:E9"/>
    <mergeCell ref="F8:F9"/>
    <mergeCell ref="D10:D11"/>
    <mergeCell ref="E10:E11"/>
  </mergeCells>
  <pageMargins left="0.39370078740157483" right="0.39370078740157483" top="0.26" bottom="0.18" header="0.19" footer="0.17"/>
  <pageSetup paperSize="9" scale="82" fitToHeight="2" orientation="portrait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workbookViewId="0">
      <selection activeCell="I2" sqref="I2"/>
    </sheetView>
  </sheetViews>
  <sheetFormatPr baseColWidth="10" defaultRowHeight="15"/>
  <cols>
    <col min="1" max="1" width="11" bestFit="1" customWidth="1"/>
    <col min="2" max="2" width="47.7109375" bestFit="1" customWidth="1"/>
    <col min="3" max="3" width="11.140625" bestFit="1" customWidth="1"/>
    <col min="4" max="4" width="13.28515625" style="2" bestFit="1" customWidth="1"/>
    <col min="5" max="5" width="11.140625" bestFit="1" customWidth="1"/>
    <col min="6" max="6" width="13.140625" bestFit="1" customWidth="1"/>
    <col min="7" max="7" width="8.7109375" bestFit="1" customWidth="1"/>
    <col min="8" max="8" width="11.140625" bestFit="1" customWidth="1"/>
    <col min="9" max="9" width="13.28515625" bestFit="1" customWidth="1"/>
    <col min="10" max="10" width="8.7109375" bestFit="1" customWidth="1"/>
    <col min="11" max="11" width="11.42578125" style="2"/>
    <col min="12" max="12" width="13.140625" bestFit="1" customWidth="1"/>
  </cols>
  <sheetData>
    <row r="1" spans="1:12" ht="15.75">
      <c r="A1" s="309" t="s">
        <v>680</v>
      </c>
      <c r="B1" s="309" t="s">
        <v>681</v>
      </c>
      <c r="C1" s="309" t="s">
        <v>682</v>
      </c>
      <c r="D1" s="310">
        <v>2013</v>
      </c>
      <c r="E1" s="309" t="s">
        <v>682</v>
      </c>
      <c r="F1" s="309">
        <v>2014</v>
      </c>
      <c r="G1" s="309" t="s">
        <v>683</v>
      </c>
      <c r="H1" s="309" t="s">
        <v>682</v>
      </c>
      <c r="I1" s="309">
        <v>2015</v>
      </c>
      <c r="J1" s="309" t="s">
        <v>683</v>
      </c>
    </row>
    <row r="2" spans="1:12">
      <c r="A2" s="311">
        <v>850508</v>
      </c>
      <c r="B2" s="312" t="s">
        <v>684</v>
      </c>
      <c r="C2" s="313">
        <v>41639</v>
      </c>
      <c r="D2" s="314">
        <v>-92545.509000000005</v>
      </c>
      <c r="E2" s="315">
        <v>42004</v>
      </c>
      <c r="F2" s="323">
        <v>-115967.243</v>
      </c>
      <c r="G2" s="324" t="s">
        <v>685</v>
      </c>
      <c r="H2" s="325">
        <v>42369</v>
      </c>
      <c r="I2" s="323">
        <v>-148251.33499999999</v>
      </c>
      <c r="J2" s="317" t="s">
        <v>685</v>
      </c>
      <c r="L2" s="2">
        <f>I2+K2</f>
        <v>-148251.33499999999</v>
      </c>
    </row>
    <row r="3" spans="1:12">
      <c r="A3" s="318">
        <v>452286638</v>
      </c>
      <c r="B3" s="319" t="s">
        <v>686</v>
      </c>
      <c r="C3" s="313">
        <v>41639</v>
      </c>
      <c r="D3" s="314">
        <v>-27868.498</v>
      </c>
      <c r="E3" s="313">
        <v>42004</v>
      </c>
      <c r="F3" s="326">
        <v>-44431.684000000001</v>
      </c>
      <c r="G3" s="324" t="s">
        <v>685</v>
      </c>
      <c r="H3" s="325">
        <v>42369</v>
      </c>
      <c r="I3" s="326">
        <v>-292726.527</v>
      </c>
      <c r="J3" s="317" t="s">
        <v>685</v>
      </c>
      <c r="K3" s="2">
        <v>295000</v>
      </c>
      <c r="L3" s="2">
        <f t="shared" ref="L3:L26" si="0">I3+K3</f>
        <v>2273.4729999999981</v>
      </c>
    </row>
    <row r="4" spans="1:12">
      <c r="A4" s="311">
        <v>818106</v>
      </c>
      <c r="B4" s="312" t="s">
        <v>687</v>
      </c>
      <c r="C4" s="315">
        <v>41639</v>
      </c>
      <c r="D4" s="316">
        <v>212.12799999999999</v>
      </c>
      <c r="E4" s="315">
        <v>42004</v>
      </c>
      <c r="F4" s="323">
        <v>8.8849999999999998</v>
      </c>
      <c r="G4" s="327" t="s">
        <v>685</v>
      </c>
      <c r="H4" s="325">
        <v>42369</v>
      </c>
      <c r="I4" s="323">
        <v>-10.771000000000001</v>
      </c>
      <c r="J4" s="320" t="s">
        <v>685</v>
      </c>
      <c r="L4" s="2">
        <f t="shared" si="0"/>
        <v>-10.771000000000001</v>
      </c>
    </row>
    <row r="5" spans="1:12">
      <c r="A5" s="318">
        <v>812139</v>
      </c>
      <c r="B5" s="319" t="s">
        <v>688</v>
      </c>
      <c r="C5" s="313">
        <v>41639</v>
      </c>
      <c r="D5" s="314">
        <v>-1007487.1</v>
      </c>
      <c r="E5" s="313">
        <v>42004</v>
      </c>
      <c r="F5" s="326">
        <v>-416775.342</v>
      </c>
      <c r="G5" s="324" t="s">
        <v>685</v>
      </c>
      <c r="H5" s="325">
        <v>42369</v>
      </c>
      <c r="I5" s="326">
        <v>-678174.54500000004</v>
      </c>
      <c r="J5" s="317" t="s">
        <v>685</v>
      </c>
      <c r="L5" s="2">
        <f t="shared" si="0"/>
        <v>-678174.54500000004</v>
      </c>
    </row>
    <row r="6" spans="1:12">
      <c r="A6" s="311">
        <v>811635</v>
      </c>
      <c r="B6" s="312" t="s">
        <v>689</v>
      </c>
      <c r="C6" s="313">
        <v>41639</v>
      </c>
      <c r="D6" s="314">
        <v>-85348.582999999999</v>
      </c>
      <c r="E6" s="315">
        <v>42004</v>
      </c>
      <c r="F6" s="323">
        <v>-134936.10800000001</v>
      </c>
      <c r="G6" s="324" t="s">
        <v>685</v>
      </c>
      <c r="H6" s="325">
        <v>42369</v>
      </c>
      <c r="I6" s="323">
        <v>-416046.70799999998</v>
      </c>
      <c r="J6" s="317" t="s">
        <v>685</v>
      </c>
      <c r="K6" s="2">
        <v>301711.28499999997</v>
      </c>
      <c r="L6" s="2">
        <f t="shared" si="0"/>
        <v>-114335.42300000001</v>
      </c>
    </row>
    <row r="7" spans="1:12">
      <c r="A7" s="318">
        <v>846367</v>
      </c>
      <c r="B7" s="319" t="s">
        <v>690</v>
      </c>
      <c r="C7" s="315">
        <v>41639</v>
      </c>
      <c r="D7" s="316">
        <v>36.637</v>
      </c>
      <c r="E7" s="313">
        <v>42004</v>
      </c>
      <c r="F7" s="326">
        <v>1591.095</v>
      </c>
      <c r="G7" s="327" t="s">
        <v>685</v>
      </c>
      <c r="H7" s="325">
        <v>42369</v>
      </c>
      <c r="I7" s="326">
        <v>1576.345</v>
      </c>
      <c r="J7" s="320" t="s">
        <v>685</v>
      </c>
      <c r="L7" s="2">
        <f t="shared" si="0"/>
        <v>1576.345</v>
      </c>
    </row>
    <row r="8" spans="1:12">
      <c r="A8" s="311">
        <v>847247</v>
      </c>
      <c r="B8" s="312" t="s">
        <v>691</v>
      </c>
      <c r="C8" s="315">
        <v>41639</v>
      </c>
      <c r="D8" s="316">
        <v>-107543.049</v>
      </c>
      <c r="E8" s="315">
        <v>42004</v>
      </c>
      <c r="F8" s="323">
        <v>-837212.74300000002</v>
      </c>
      <c r="G8" s="327" t="s">
        <v>685</v>
      </c>
      <c r="H8" s="325">
        <v>42369</v>
      </c>
      <c r="I8" s="323">
        <v>-1775194.156</v>
      </c>
      <c r="J8" s="320" t="s">
        <v>685</v>
      </c>
      <c r="K8" s="2">
        <f>65000*2.02</f>
        <v>131300</v>
      </c>
      <c r="L8" s="2">
        <f t="shared" si="0"/>
        <v>-1643894.156</v>
      </c>
    </row>
    <row r="9" spans="1:12">
      <c r="A9" s="318">
        <v>845139</v>
      </c>
      <c r="B9" s="319" t="s">
        <v>692</v>
      </c>
      <c r="C9" s="313">
        <v>41639</v>
      </c>
      <c r="D9" s="314">
        <v>-10158.962</v>
      </c>
      <c r="E9" s="313">
        <v>42004</v>
      </c>
      <c r="F9" s="326">
        <v>-5917.41</v>
      </c>
      <c r="G9" s="324" t="s">
        <v>685</v>
      </c>
      <c r="H9" s="325">
        <v>42369</v>
      </c>
      <c r="I9" s="326">
        <v>-10183.826999999999</v>
      </c>
      <c r="J9" s="317" t="s">
        <v>685</v>
      </c>
      <c r="L9" s="2">
        <f t="shared" si="0"/>
        <v>-10183.826999999999</v>
      </c>
    </row>
    <row r="10" spans="1:12">
      <c r="A10" s="311">
        <v>853370</v>
      </c>
      <c r="B10" s="312" t="s">
        <v>693</v>
      </c>
      <c r="C10" s="313">
        <v>41639</v>
      </c>
      <c r="D10" s="314">
        <v>1214.7439999999999</v>
      </c>
      <c r="E10" s="315">
        <v>42004</v>
      </c>
      <c r="F10" s="323">
        <v>903.11800000000005</v>
      </c>
      <c r="G10" s="324" t="s">
        <v>685</v>
      </c>
      <c r="H10" s="325">
        <v>42369</v>
      </c>
      <c r="I10" s="323">
        <v>802.62</v>
      </c>
      <c r="J10" s="317" t="s">
        <v>685</v>
      </c>
      <c r="L10" s="2">
        <f t="shared" si="0"/>
        <v>802.62</v>
      </c>
    </row>
    <row r="11" spans="1:12">
      <c r="A11" s="318">
        <v>8900050978</v>
      </c>
      <c r="B11" s="319" t="s">
        <v>694</v>
      </c>
      <c r="C11" s="315">
        <v>41628</v>
      </c>
      <c r="D11" s="321">
        <v>45.13</v>
      </c>
      <c r="E11" s="313">
        <v>42003</v>
      </c>
      <c r="F11" s="328">
        <v>169240.23</v>
      </c>
      <c r="G11" s="327" t="s">
        <v>695</v>
      </c>
      <c r="H11" s="325">
        <v>42369</v>
      </c>
      <c r="I11" s="328">
        <v>596007.93999999994</v>
      </c>
      <c r="J11" s="320" t="s">
        <v>695</v>
      </c>
      <c r="L11" s="237">
        <f t="shared" si="0"/>
        <v>596007.93999999994</v>
      </c>
    </row>
    <row r="12" spans="1:12">
      <c r="A12" s="311">
        <v>8900069978</v>
      </c>
      <c r="B12" s="312" t="s">
        <v>690</v>
      </c>
      <c r="C12" s="313">
        <v>41634</v>
      </c>
      <c r="D12" s="322">
        <v>19620.849999999999</v>
      </c>
      <c r="E12" s="315">
        <v>41991</v>
      </c>
      <c r="F12" s="329">
        <v>19268.98</v>
      </c>
      <c r="G12" s="324" t="s">
        <v>695</v>
      </c>
      <c r="H12" s="325">
        <v>42369</v>
      </c>
      <c r="I12" s="329">
        <v>25290.65</v>
      </c>
      <c r="J12" s="317" t="s">
        <v>695</v>
      </c>
      <c r="L12" s="237">
        <f t="shared" si="0"/>
        <v>25290.65</v>
      </c>
    </row>
    <row r="13" spans="1:12">
      <c r="A13" s="318">
        <v>8900207978</v>
      </c>
      <c r="B13" s="319" t="s">
        <v>696</v>
      </c>
      <c r="C13" s="315">
        <v>41037</v>
      </c>
      <c r="D13" s="321">
        <v>0</v>
      </c>
      <c r="E13" s="313">
        <v>41037</v>
      </c>
      <c r="F13" s="328">
        <v>0</v>
      </c>
      <c r="G13" s="327" t="s">
        <v>695</v>
      </c>
      <c r="H13" s="325">
        <v>42369</v>
      </c>
      <c r="I13" s="328">
        <v>0</v>
      </c>
      <c r="J13" s="320" t="s">
        <v>695</v>
      </c>
      <c r="L13" s="2">
        <f t="shared" si="0"/>
        <v>0</v>
      </c>
    </row>
    <row r="14" spans="1:12">
      <c r="A14" s="311">
        <v>70470489</v>
      </c>
      <c r="B14" s="312" t="s">
        <v>697</v>
      </c>
      <c r="C14" s="313">
        <v>41639</v>
      </c>
      <c r="D14" s="314">
        <v>11728.517</v>
      </c>
      <c r="E14" s="315">
        <v>42004</v>
      </c>
      <c r="F14" s="323">
        <v>9765.6890000000003</v>
      </c>
      <c r="G14" s="324" t="s">
        <v>685</v>
      </c>
      <c r="H14" s="325">
        <v>42369</v>
      </c>
      <c r="I14" s="323">
        <v>15072.013000000001</v>
      </c>
      <c r="J14" s="317" t="s">
        <v>685</v>
      </c>
      <c r="K14" s="2">
        <v>-10000</v>
      </c>
      <c r="L14" s="2">
        <f t="shared" si="0"/>
        <v>5072.0130000000008</v>
      </c>
    </row>
    <row r="15" spans="1:12">
      <c r="A15" s="318">
        <v>20234678</v>
      </c>
      <c r="B15" s="319" t="s">
        <v>698</v>
      </c>
      <c r="C15" s="315">
        <v>41639</v>
      </c>
      <c r="D15" s="316">
        <v>6140.817</v>
      </c>
      <c r="E15" s="313">
        <v>42004</v>
      </c>
      <c r="F15" s="326">
        <v>20060.487000000001</v>
      </c>
      <c r="G15" s="327" t="s">
        <v>685</v>
      </c>
      <c r="H15" s="325">
        <v>42369</v>
      </c>
      <c r="I15" s="326">
        <v>25079.817999999999</v>
      </c>
      <c r="J15" s="320" t="s">
        <v>685</v>
      </c>
      <c r="K15" s="2">
        <v>-12000</v>
      </c>
      <c r="L15" s="2">
        <f t="shared" si="0"/>
        <v>13079.817999999999</v>
      </c>
    </row>
    <row r="16" spans="1:12">
      <c r="A16" s="311">
        <v>211188782</v>
      </c>
      <c r="B16" s="312" t="s">
        <v>698</v>
      </c>
      <c r="C16" s="313">
        <v>41639</v>
      </c>
      <c r="D16" s="314">
        <v>25843.562999999998</v>
      </c>
      <c r="E16" s="315">
        <v>42004</v>
      </c>
      <c r="F16" s="323">
        <v>6179.7020000000002</v>
      </c>
      <c r="G16" s="324" t="s">
        <v>685</v>
      </c>
      <c r="H16" s="325">
        <v>42369</v>
      </c>
      <c r="I16" s="323">
        <v>6211.3950000000004</v>
      </c>
      <c r="J16" s="317" t="s">
        <v>685</v>
      </c>
      <c r="K16" s="2">
        <v>-4500</v>
      </c>
      <c r="L16" s="2">
        <f t="shared" si="0"/>
        <v>1711.3950000000004</v>
      </c>
    </row>
    <row r="17" spans="1:13">
      <c r="A17" s="318">
        <v>160912912</v>
      </c>
      <c r="B17" s="319" t="s">
        <v>699</v>
      </c>
      <c r="C17" s="315">
        <v>41639</v>
      </c>
      <c r="D17" s="316">
        <v>9560.7970000000005</v>
      </c>
      <c r="E17" s="313">
        <v>42004</v>
      </c>
      <c r="F17" s="326">
        <v>5041.317</v>
      </c>
      <c r="G17" s="327" t="s">
        <v>685</v>
      </c>
      <c r="H17" s="325">
        <v>42369</v>
      </c>
      <c r="I17" s="326">
        <v>6725.6710000000003</v>
      </c>
      <c r="J17" s="320" t="s">
        <v>685</v>
      </c>
      <c r="K17" s="2">
        <v>-2000</v>
      </c>
      <c r="L17" s="2">
        <f t="shared" si="0"/>
        <v>4725.6710000000003</v>
      </c>
    </row>
    <row r="18" spans="1:13">
      <c r="A18" s="311">
        <v>392039199</v>
      </c>
      <c r="B18" s="312" t="s">
        <v>698</v>
      </c>
      <c r="C18" s="313">
        <v>41639</v>
      </c>
      <c r="D18" s="314">
        <v>14251.725</v>
      </c>
      <c r="E18" s="315">
        <v>42004</v>
      </c>
      <c r="F18" s="323">
        <v>8673.1669999999995</v>
      </c>
      <c r="G18" s="324" t="s">
        <v>685</v>
      </c>
      <c r="H18" s="325">
        <v>42369</v>
      </c>
      <c r="I18" s="323">
        <v>18019.906999999999</v>
      </c>
      <c r="J18" s="317" t="s">
        <v>685</v>
      </c>
      <c r="K18" s="2">
        <v>-11000</v>
      </c>
      <c r="L18" s="2">
        <f t="shared" si="0"/>
        <v>7019.9069999999992</v>
      </c>
    </row>
    <row r="19" spans="1:13">
      <c r="A19" s="318">
        <v>8900243840</v>
      </c>
      <c r="B19" s="319" t="s">
        <v>700</v>
      </c>
      <c r="C19" s="315">
        <v>41634</v>
      </c>
      <c r="D19" s="321">
        <v>4255.8999999999996</v>
      </c>
      <c r="E19" s="313">
        <v>41996</v>
      </c>
      <c r="F19" s="328">
        <v>6998.49</v>
      </c>
      <c r="G19" s="327" t="s">
        <v>701</v>
      </c>
      <c r="H19" s="325">
        <v>42369</v>
      </c>
      <c r="I19" s="328">
        <v>97074.73</v>
      </c>
      <c r="J19" s="320" t="s">
        <v>701</v>
      </c>
      <c r="L19" s="237">
        <f t="shared" si="0"/>
        <v>97074.73</v>
      </c>
      <c r="M19" s="237">
        <v>150883</v>
      </c>
    </row>
    <row r="20" spans="1:13">
      <c r="A20" s="311">
        <v>8900308840</v>
      </c>
      <c r="B20" s="312" t="s">
        <v>702</v>
      </c>
      <c r="C20" s="313">
        <v>41593</v>
      </c>
      <c r="D20" s="322">
        <v>76.28</v>
      </c>
      <c r="E20" s="315">
        <v>42002</v>
      </c>
      <c r="F20" s="329">
        <v>3543.95</v>
      </c>
      <c r="G20" s="324" t="s">
        <v>701</v>
      </c>
      <c r="H20" s="325">
        <v>42369</v>
      </c>
      <c r="I20" s="329">
        <v>93811.87</v>
      </c>
      <c r="J20" s="317" t="s">
        <v>701</v>
      </c>
      <c r="L20" s="237">
        <f t="shared" si="0"/>
        <v>93811.87</v>
      </c>
    </row>
    <row r="21" spans="1:13">
      <c r="A21" s="318">
        <v>875673</v>
      </c>
      <c r="B21" s="319" t="s">
        <v>703</v>
      </c>
      <c r="C21" s="315">
        <v>41639</v>
      </c>
      <c r="D21" s="316">
        <v>30738.432000000001</v>
      </c>
      <c r="E21" s="313">
        <v>42004</v>
      </c>
      <c r="F21" s="326">
        <v>-247.42699999999999</v>
      </c>
      <c r="G21" s="327" t="s">
        <v>685</v>
      </c>
      <c r="H21" s="325">
        <v>42369</v>
      </c>
      <c r="I21" s="326">
        <v>126386.261</v>
      </c>
      <c r="J21" s="320" t="s">
        <v>685</v>
      </c>
      <c r="L21" s="2">
        <f t="shared" si="0"/>
        <v>126386.261</v>
      </c>
    </row>
    <row r="22" spans="1:13">
      <c r="A22" s="311">
        <v>452312071</v>
      </c>
      <c r="B22" s="312" t="s">
        <v>704</v>
      </c>
      <c r="E22" s="315">
        <v>42004</v>
      </c>
      <c r="F22" s="323">
        <v>-23.6</v>
      </c>
      <c r="G22" s="327" t="s">
        <v>685</v>
      </c>
      <c r="H22" s="325">
        <v>42369</v>
      </c>
      <c r="I22" s="323">
        <v>5112.4489999999996</v>
      </c>
      <c r="J22" s="320" t="s">
        <v>685</v>
      </c>
      <c r="L22" s="2">
        <f t="shared" si="0"/>
        <v>5112.4489999999996</v>
      </c>
    </row>
    <row r="23" spans="1:13">
      <c r="A23" s="318">
        <v>452311818</v>
      </c>
      <c r="B23" s="319" t="s">
        <v>705</v>
      </c>
      <c r="E23" s="313">
        <v>42004</v>
      </c>
      <c r="F23" s="326">
        <v>31464.722000000002</v>
      </c>
      <c r="G23" s="324" t="s">
        <v>685</v>
      </c>
      <c r="H23" s="325">
        <v>42369</v>
      </c>
      <c r="I23" s="326">
        <v>-10923.968000000001</v>
      </c>
      <c r="J23" s="317" t="s">
        <v>685</v>
      </c>
      <c r="K23" s="2">
        <v>36961.14</v>
      </c>
      <c r="L23" s="2">
        <f t="shared" si="0"/>
        <v>26037.171999999999</v>
      </c>
    </row>
    <row r="24" spans="1:13">
      <c r="A24" s="311">
        <v>813431</v>
      </c>
      <c r="B24" s="312" t="s">
        <v>706</v>
      </c>
      <c r="E24" s="315">
        <v>42004</v>
      </c>
      <c r="F24" s="323">
        <v>55802.764999999999</v>
      </c>
      <c r="G24" s="327" t="s">
        <v>685</v>
      </c>
      <c r="H24" s="325">
        <v>42369</v>
      </c>
      <c r="I24" s="323">
        <v>251564.84099999999</v>
      </c>
      <c r="J24" s="320" t="s">
        <v>685</v>
      </c>
      <c r="L24" s="2">
        <f t="shared" si="0"/>
        <v>251564.84099999999</v>
      </c>
    </row>
    <row r="25" spans="1:13">
      <c r="A25" s="318">
        <v>812762</v>
      </c>
      <c r="B25" s="319" t="s">
        <v>707</v>
      </c>
      <c r="E25" s="313">
        <v>42004</v>
      </c>
      <c r="F25" s="326">
        <v>-1711.2929999999999</v>
      </c>
      <c r="G25" s="324" t="s">
        <v>685</v>
      </c>
      <c r="H25" s="325">
        <v>42369</v>
      </c>
      <c r="I25" s="326">
        <v>-975.05399999999997</v>
      </c>
      <c r="J25" s="317" t="s">
        <v>685</v>
      </c>
      <c r="L25" s="2">
        <f t="shared" si="0"/>
        <v>-975.05399999999997</v>
      </c>
    </row>
    <row r="26" spans="1:13">
      <c r="A26" s="311">
        <v>452312160</v>
      </c>
      <c r="B26" s="312" t="s">
        <v>708</v>
      </c>
      <c r="E26" s="315">
        <v>42004</v>
      </c>
      <c r="F26" s="323">
        <v>466.63900000000001</v>
      </c>
      <c r="G26" s="327" t="s">
        <v>685</v>
      </c>
      <c r="H26" s="325">
        <v>42369</v>
      </c>
      <c r="I26" s="323">
        <v>11704.216</v>
      </c>
      <c r="J26" s="320" t="s">
        <v>685</v>
      </c>
      <c r="L26" s="2">
        <f t="shared" si="0"/>
        <v>11704.216</v>
      </c>
    </row>
    <row r="27" spans="1:13" ht="15" customHeight="1"/>
    <row r="28" spans="1:13" ht="15" customHeight="1">
      <c r="C28" t="s">
        <v>469</v>
      </c>
      <c r="D28" s="2">
        <f>+D2+D3+D4+D5+D6+D7+D8+D9+D10+D14+D15+D16+D17+D18+D21+D22+D23+D24+D25+D26</f>
        <v>-1231224.3409999998</v>
      </c>
      <c r="E28" s="2"/>
      <c r="F28" s="2">
        <f>+F2+F3+F4+F5+F6+F7+F8+F9+F10+F14+F15+F16+F17+F18+F21+F22+F23+F24+F25+F26</f>
        <v>-1417265.2640000002</v>
      </c>
      <c r="H28" s="2"/>
      <c r="I28" s="2">
        <f>+I2+I3+I4+I5+I6+I7+I8+I9+I10+I14+I15+I16+I17+I18+I21+I22+I23+I24+I25+I26</f>
        <v>-2864231.3549999995</v>
      </c>
      <c r="L28" s="2">
        <f>+L2+L3+L4+L5+L6+L7+L8+L9+L10+L14+L15+L16+L17+L18+L21+L22+L23+L24+L25+L26</f>
        <v>-2138758.9300000002</v>
      </c>
    </row>
    <row r="29" spans="1:13">
      <c r="C29" t="s">
        <v>709</v>
      </c>
      <c r="D29" s="2">
        <f>D11+D12+D13</f>
        <v>19665.98</v>
      </c>
      <c r="E29" s="2"/>
      <c r="F29" s="2">
        <f>F11+F12+F13</f>
        <v>188509.21000000002</v>
      </c>
      <c r="H29" s="2"/>
      <c r="I29" s="2">
        <f>I11+I12+I13</f>
        <v>621298.59</v>
      </c>
      <c r="L29" s="2">
        <f>L11+L12+L13</f>
        <v>621298.59</v>
      </c>
    </row>
    <row r="30" spans="1:13">
      <c r="C30" t="s">
        <v>710</v>
      </c>
      <c r="D30" s="2">
        <f>D19+D20</f>
        <v>4332.1799999999994</v>
      </c>
      <c r="E30" s="2"/>
      <c r="F30" s="2">
        <f>F19+F20</f>
        <v>10542.439999999999</v>
      </c>
      <c r="H30" s="2"/>
      <c r="I30" s="2">
        <f>I19+I20</f>
        <v>190886.59999999998</v>
      </c>
      <c r="L30" s="2">
        <f>L19+L20</f>
        <v>190886.59999999998</v>
      </c>
    </row>
    <row r="32" spans="1:13">
      <c r="F32" s="2"/>
      <c r="I32" s="2"/>
    </row>
    <row r="33" spans="6:9">
      <c r="F33" s="2"/>
      <c r="I33" s="2"/>
    </row>
    <row r="34" spans="6:9">
      <c r="F34" s="2"/>
      <c r="I34" s="2"/>
    </row>
  </sheetData>
  <hyperlinks>
    <hyperlink ref="A2" r:id="rId1" display="http://stbnet.stb.com.tn/Infocentre/menucpt.asp?i=0"/>
    <hyperlink ref="A3" r:id="rId2" display="http://stbnet.stb.com.tn/Infocentre/menucpt.asp?i=1"/>
    <hyperlink ref="A4" r:id="rId3" display="http://stbnet.stb.com.tn/Infocentre/menucpt.asp?i=2"/>
    <hyperlink ref="A5" r:id="rId4" display="http://stbnet.stb.com.tn/Infocentre/menucpt.asp?i=3"/>
    <hyperlink ref="A6" r:id="rId5" display="http://stbnet.stb.com.tn/Infocentre/menucpt.asp?i=4"/>
    <hyperlink ref="A7" r:id="rId6" display="http://stbnet.stb.com.tn/Infocentre/menucpt.asp?i=5"/>
    <hyperlink ref="A8" r:id="rId7" display="http://stbnet.stb.com.tn/Infocentre/menucpt.asp?i=6"/>
    <hyperlink ref="A9" r:id="rId8" display="http://stbnet.stb.com.tn/Infocentre/menucpt.asp?i=7"/>
    <hyperlink ref="A10" r:id="rId9" display="http://stbnet.stb.com.tn/Infocentre/menucpt.asp?i=8"/>
    <hyperlink ref="A11" r:id="rId10" display="http://stbnet.stb.com.tn/devise/menucptDevise.asp?i=9789"/>
    <hyperlink ref="A12" r:id="rId11" display="http://stbnet.stb.com.tn/devise/menucptDevise.asp?i=97810"/>
    <hyperlink ref="A13" r:id="rId12" display="http://stbnet.stb.com.tn/devise/menucptDevise.asp?i=97811"/>
    <hyperlink ref="A14" r:id="rId13" display="http://stbnet.stb.com.tn/Infocentre/menucpt.asp?i=12"/>
    <hyperlink ref="A15" r:id="rId14" display="http://stbnet.stb.com.tn/Infocentre/menucpt.asp?i=13"/>
    <hyperlink ref="A16" r:id="rId15" display="http://stbnet.stb.com.tn/Infocentre/menucpt.asp?i=14"/>
    <hyperlink ref="A17" r:id="rId16" display="http://stbnet.stb.com.tn/Infocentre/menucpt.asp?i=15"/>
    <hyperlink ref="A18" r:id="rId17" display="http://stbnet.stb.com.tn/Infocentre/menucpt.asp?i=16"/>
    <hyperlink ref="A19" r:id="rId18" display="http://stbnet.stb.com.tn/devise/menucptDevise.asp?i=84017"/>
    <hyperlink ref="A20" r:id="rId19" display="http://stbnet.stb.com.tn/devise/menucptDevise.asp?i=84018"/>
    <hyperlink ref="A21" r:id="rId20" display="http://stbnet.stb.com.tn/Infocentre/menucpt.asp?i=19"/>
    <hyperlink ref="A22" r:id="rId21" display="http://stbnet.stb.com.tn/Infocentre/menucpt.asp?i=20"/>
    <hyperlink ref="A23" r:id="rId22" display="http://stbnet.stb.com.tn/Infocentre/menucpt.asp?i=21"/>
    <hyperlink ref="A24" r:id="rId23" display="http://stbnet.stb.com.tn/Infocentre/menucpt.asp?i=22"/>
    <hyperlink ref="A25" r:id="rId24" display="http://stbnet.stb.com.tn/Infocentre/menucpt.asp?i=23"/>
    <hyperlink ref="A26" r:id="rId25" display="http://stbnet.stb.com.tn/Infocentre/menucpt.asp?i=24"/>
  </hyperlinks>
  <pageMargins left="0" right="0" top="0" bottom="0" header="0" footer="0"/>
  <pageSetup paperSize="9" scale="83" orientation="landscape" horizontalDpi="180" verticalDpi="180" r:id="rId26"/>
</worksheet>
</file>

<file path=xl/worksheets/sheet15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F29" sqref="F29"/>
    </sheetView>
  </sheetViews>
  <sheetFormatPr baseColWidth="10" defaultRowHeight="15"/>
  <cols>
    <col min="1" max="1" width="12.5703125" bestFit="1" customWidth="1"/>
    <col min="2" max="2" width="8.5703125" bestFit="1" customWidth="1"/>
    <col min="3" max="3" width="10" bestFit="1" customWidth="1"/>
    <col min="4" max="4" width="13.140625" bestFit="1" customWidth="1"/>
    <col min="5" max="5" width="9.85546875" bestFit="1" customWidth="1"/>
  </cols>
  <sheetData>
    <row r="2" spans="1:5" ht="15.75" thickBot="1"/>
    <row r="3" spans="1:5" ht="15.75" thickBot="1">
      <c r="A3" s="509" t="s">
        <v>429</v>
      </c>
      <c r="B3" s="510" t="s">
        <v>428</v>
      </c>
      <c r="C3" s="510" t="s">
        <v>427</v>
      </c>
      <c r="D3" s="510" t="s">
        <v>424</v>
      </c>
      <c r="E3" s="511" t="s">
        <v>423</v>
      </c>
    </row>
    <row r="4" spans="1:5">
      <c r="A4" s="512" t="s">
        <v>431</v>
      </c>
      <c r="B4" s="513" t="s">
        <v>419</v>
      </c>
      <c r="C4" s="514">
        <v>13419.8</v>
      </c>
      <c r="D4" s="515">
        <v>42305</v>
      </c>
      <c r="E4" s="516">
        <f>+D4+60</f>
        <v>42365</v>
      </c>
    </row>
    <row r="5" spans="1:5">
      <c r="A5" s="256" t="s">
        <v>644</v>
      </c>
      <c r="B5" s="257" t="s">
        <v>419</v>
      </c>
      <c r="C5" s="258">
        <v>11883.55</v>
      </c>
      <c r="D5" s="260">
        <v>42317</v>
      </c>
      <c r="E5" s="517">
        <f>+D5+60</f>
        <v>42377</v>
      </c>
    </row>
    <row r="6" spans="1:5">
      <c r="A6" s="256" t="s">
        <v>643</v>
      </c>
      <c r="B6" s="257" t="s">
        <v>419</v>
      </c>
      <c r="C6" s="258">
        <v>14248.35</v>
      </c>
      <c r="D6" s="260">
        <v>42306</v>
      </c>
      <c r="E6" s="517">
        <f>+D6+90</f>
        <v>42396</v>
      </c>
    </row>
    <row r="7" spans="1:5">
      <c r="A7" s="256" t="s">
        <v>645</v>
      </c>
      <c r="B7" s="257" t="s">
        <v>419</v>
      </c>
      <c r="C7" s="258">
        <v>14743.06</v>
      </c>
      <c r="D7" s="260">
        <v>42342</v>
      </c>
      <c r="E7" s="517">
        <f>+D7+60</f>
        <v>42402</v>
      </c>
    </row>
    <row r="8" spans="1:5">
      <c r="A8" s="256" t="s">
        <v>716</v>
      </c>
      <c r="B8" s="257" t="s">
        <v>419</v>
      </c>
      <c r="C8" s="258">
        <v>2830.72</v>
      </c>
      <c r="D8" s="260">
        <v>42361</v>
      </c>
      <c r="E8" s="517">
        <f>+D8+60</f>
        <v>42421</v>
      </c>
    </row>
    <row r="9" spans="1:5" ht="15.75" thickBot="1">
      <c r="A9" s="518" t="s">
        <v>926</v>
      </c>
      <c r="B9" s="519" t="s">
        <v>419</v>
      </c>
      <c r="C9" s="520">
        <v>550</v>
      </c>
      <c r="D9" s="521">
        <v>42402</v>
      </c>
      <c r="E9" s="522">
        <f>+D9</f>
        <v>42402</v>
      </c>
    </row>
    <row r="10" spans="1:5" ht="15.75" thickBot="1">
      <c r="A10" s="523"/>
      <c r="B10" s="523"/>
      <c r="C10" s="524">
        <f>SUM(C4:C9)</f>
        <v>57675.479999999996</v>
      </c>
      <c r="D10" s="523"/>
      <c r="E10" s="523"/>
    </row>
    <row r="11" spans="1:5" ht="15.75" thickBot="1">
      <c r="A11" s="523"/>
      <c r="B11" s="525">
        <v>1.09962</v>
      </c>
      <c r="C11" s="526">
        <f>+C10*B11</f>
        <v>63421.1113176</v>
      </c>
      <c r="D11" s="523"/>
      <c r="E11" s="523"/>
    </row>
  </sheetData>
  <pageMargins left="0.7" right="0.7" top="0.75" bottom="0.75" header="0.3" footer="0.3"/>
  <pageSetup paperSize="9" orientation="portrait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H26" sqref="H26"/>
    </sheetView>
  </sheetViews>
  <sheetFormatPr baseColWidth="10" defaultRowHeight="30" customHeight="1"/>
  <cols>
    <col min="1" max="5" width="15.5703125" customWidth="1"/>
  </cols>
  <sheetData>
    <row r="1" spans="1:5" ht="30" customHeight="1" thickBot="1">
      <c r="A1" s="582" t="s">
        <v>489</v>
      </c>
      <c r="B1" s="583" t="s">
        <v>487</v>
      </c>
      <c r="C1" s="584" t="s">
        <v>486</v>
      </c>
      <c r="D1" s="585" t="s">
        <v>485</v>
      </c>
      <c r="E1" s="158" t="s">
        <v>484</v>
      </c>
    </row>
    <row r="2" spans="1:5" ht="30" customHeight="1">
      <c r="A2" s="122"/>
      <c r="B2" s="120"/>
      <c r="C2" s="126"/>
      <c r="D2" s="126"/>
      <c r="E2" s="574"/>
    </row>
    <row r="3" spans="1:5" ht="30" customHeight="1">
      <c r="A3" s="119"/>
      <c r="B3" s="117"/>
      <c r="C3" s="123"/>
      <c r="D3" s="123"/>
      <c r="E3" s="575"/>
    </row>
    <row r="4" spans="1:5" ht="30" customHeight="1">
      <c r="A4" s="119"/>
      <c r="B4" s="117"/>
      <c r="C4" s="123"/>
      <c r="D4" s="123"/>
      <c r="E4" s="575"/>
    </row>
    <row r="5" spans="1:5" ht="30" customHeight="1">
      <c r="A5" s="119"/>
      <c r="B5" s="117"/>
      <c r="C5" s="123"/>
      <c r="D5" s="123"/>
      <c r="E5" s="575"/>
    </row>
    <row r="6" spans="1:5" ht="30" customHeight="1">
      <c r="A6" s="119"/>
      <c r="B6" s="117"/>
      <c r="C6" s="123"/>
      <c r="D6" s="123"/>
      <c r="E6" s="575"/>
    </row>
    <row r="7" spans="1:5" ht="30" customHeight="1">
      <c r="A7" s="119"/>
      <c r="B7" s="117"/>
      <c r="C7" s="123"/>
      <c r="D7" s="123"/>
      <c r="E7" s="575"/>
    </row>
    <row r="8" spans="1:5" ht="30" customHeight="1">
      <c r="A8" s="119"/>
      <c r="B8" s="117"/>
      <c r="C8" s="123"/>
      <c r="D8" s="123"/>
      <c r="E8" s="575"/>
    </row>
    <row r="9" spans="1:5" ht="30" customHeight="1">
      <c r="A9" s="119"/>
      <c r="B9" s="117"/>
      <c r="C9" s="123"/>
      <c r="D9" s="123"/>
      <c r="E9" s="575"/>
    </row>
    <row r="10" spans="1:5" ht="30" customHeight="1">
      <c r="A10" s="119"/>
      <c r="B10" s="117"/>
      <c r="C10" s="123"/>
      <c r="D10" s="123"/>
      <c r="E10" s="575"/>
    </row>
    <row r="11" spans="1:5" ht="30" customHeight="1">
      <c r="A11" s="119"/>
      <c r="B11" s="117"/>
      <c r="C11" s="123"/>
      <c r="D11" s="123"/>
      <c r="E11" s="575"/>
    </row>
    <row r="12" spans="1:5" ht="30" customHeight="1">
      <c r="A12" s="119"/>
      <c r="B12" s="117"/>
      <c r="C12" s="123"/>
      <c r="D12" s="123"/>
      <c r="E12" s="575"/>
    </row>
    <row r="13" spans="1:5" ht="30" customHeight="1">
      <c r="A13" s="119"/>
      <c r="B13" s="117"/>
      <c r="C13" s="123"/>
      <c r="D13" s="123"/>
      <c r="E13" s="575"/>
    </row>
    <row r="14" spans="1:5" ht="30" customHeight="1">
      <c r="A14" s="119"/>
      <c r="B14" s="117"/>
      <c r="C14" s="123"/>
      <c r="D14" s="123"/>
      <c r="E14" s="575"/>
    </row>
    <row r="15" spans="1:5" ht="30" customHeight="1">
      <c r="A15" s="119"/>
      <c r="B15" s="117"/>
      <c r="C15" s="123"/>
      <c r="D15" s="123"/>
      <c r="E15" s="575"/>
    </row>
    <row r="16" spans="1:5" ht="30" customHeight="1">
      <c r="A16" s="119"/>
      <c r="B16" s="117"/>
      <c r="C16" s="123"/>
      <c r="D16" s="123"/>
      <c r="E16" s="575"/>
    </row>
    <row r="17" spans="1:5" ht="30" customHeight="1">
      <c r="A17" s="119"/>
      <c r="B17" s="117"/>
      <c r="C17" s="123"/>
      <c r="D17" s="123"/>
      <c r="E17" s="575"/>
    </row>
    <row r="18" spans="1:5" ht="30" customHeight="1">
      <c r="A18" s="119"/>
      <c r="B18" s="117"/>
      <c r="C18" s="123"/>
      <c r="D18" s="123"/>
      <c r="E18" s="575"/>
    </row>
    <row r="19" spans="1:5" ht="30" customHeight="1">
      <c r="A19" s="119"/>
      <c r="B19" s="117"/>
      <c r="C19" s="123"/>
      <c r="D19" s="123"/>
      <c r="E19" s="575"/>
    </row>
    <row r="20" spans="1:5" ht="30" customHeight="1">
      <c r="A20" s="119"/>
      <c r="B20" s="117"/>
      <c r="C20" s="123"/>
      <c r="D20" s="123"/>
      <c r="E20" s="575"/>
    </row>
    <row r="21" spans="1:5" ht="30" customHeight="1">
      <c r="A21" s="119"/>
      <c r="B21" s="117"/>
      <c r="C21" s="123"/>
      <c r="D21" s="123"/>
      <c r="E21" s="575"/>
    </row>
    <row r="22" spans="1:5" ht="30" customHeight="1">
      <c r="A22" s="119"/>
      <c r="B22" s="117"/>
      <c r="C22" s="123"/>
      <c r="D22" s="123"/>
      <c r="E22" s="575"/>
    </row>
    <row r="23" spans="1:5" ht="30" customHeight="1">
      <c r="A23" s="577"/>
      <c r="B23" s="578"/>
      <c r="C23" s="579"/>
      <c r="D23" s="580"/>
      <c r="E23" s="581"/>
    </row>
    <row r="24" spans="1:5" ht="30" customHeight="1">
      <c r="A24" s="119"/>
      <c r="B24" s="117"/>
      <c r="C24" s="123"/>
      <c r="D24" s="123"/>
      <c r="E24" s="575"/>
    </row>
    <row r="25" spans="1:5" ht="30" customHeight="1" thickBot="1">
      <c r="A25" s="116"/>
      <c r="B25" s="114"/>
      <c r="C25" s="127"/>
      <c r="D25" s="127"/>
      <c r="E25" s="576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46"/>
  <sheetViews>
    <sheetView topLeftCell="A4" workbookViewId="0">
      <selection activeCell="A5" sqref="A5:F46"/>
    </sheetView>
  </sheetViews>
  <sheetFormatPr baseColWidth="10" defaultRowHeight="12"/>
  <cols>
    <col min="1" max="1" width="15.28515625" style="605" bestFit="1" customWidth="1"/>
    <col min="2" max="2" width="9.28515625" style="605" bestFit="1" customWidth="1"/>
    <col min="3" max="3" width="10.7109375" style="605" bestFit="1" customWidth="1"/>
    <col min="4" max="4" width="9.28515625" style="605" bestFit="1" customWidth="1"/>
    <col min="5" max="5" width="13.85546875" style="605" bestFit="1" customWidth="1"/>
    <col min="6" max="6" width="10.28515625" style="605" bestFit="1" customWidth="1"/>
    <col min="7" max="16384" width="11.42578125" style="605"/>
  </cols>
  <sheetData>
    <row r="1" spans="1:6">
      <c r="A1" s="604">
        <f ca="1">TODAY()</f>
        <v>42628</v>
      </c>
    </row>
    <row r="2" spans="1:6">
      <c r="A2" s="605" t="s">
        <v>435</v>
      </c>
      <c r="C2" s="606">
        <v>42369</v>
      </c>
      <c r="D2" s="605">
        <v>2.2161300000000002</v>
      </c>
    </row>
    <row r="3" spans="1:6">
      <c r="A3" s="605" t="s">
        <v>434</v>
      </c>
      <c r="C3" s="606">
        <v>42369</v>
      </c>
      <c r="D3" s="605">
        <v>2.04074</v>
      </c>
    </row>
    <row r="4" spans="1:6" ht="12.75" thickBot="1">
      <c r="A4" s="605" t="s">
        <v>433</v>
      </c>
      <c r="C4" s="606">
        <v>42369</v>
      </c>
      <c r="D4" s="605">
        <v>3.0085600000000001</v>
      </c>
    </row>
    <row r="5" spans="1:6" ht="12.75" thickBot="1">
      <c r="A5" s="732" t="s">
        <v>767</v>
      </c>
      <c r="B5" s="733"/>
      <c r="C5" s="733"/>
      <c r="D5" s="733"/>
      <c r="E5" s="733"/>
      <c r="F5" s="734"/>
    </row>
    <row r="6" spans="1:6" ht="12.75" thickBot="1">
      <c r="A6" s="607" t="s">
        <v>429</v>
      </c>
      <c r="B6" s="608" t="s">
        <v>428</v>
      </c>
      <c r="C6" s="608" t="s">
        <v>427</v>
      </c>
      <c r="D6" s="608" t="s">
        <v>426</v>
      </c>
      <c r="E6" s="608" t="s">
        <v>424</v>
      </c>
      <c r="F6" s="609" t="s">
        <v>423</v>
      </c>
    </row>
    <row r="7" spans="1:6">
      <c r="A7" s="627" t="s">
        <v>716</v>
      </c>
      <c r="B7" s="628" t="s">
        <v>419</v>
      </c>
      <c r="C7" s="629">
        <v>2830.72</v>
      </c>
      <c r="D7" s="629">
        <f>C7*$D$2</f>
        <v>6273.2435136000004</v>
      </c>
      <c r="E7" s="637">
        <v>42361</v>
      </c>
      <c r="F7" s="631">
        <f>+E7+60</f>
        <v>42421</v>
      </c>
    </row>
    <row r="8" spans="1:6">
      <c r="A8" s="632" t="s">
        <v>761</v>
      </c>
      <c r="B8" s="633" t="s">
        <v>419</v>
      </c>
      <c r="C8" s="634">
        <v>9962.7199999999993</v>
      </c>
      <c r="D8" s="634">
        <f>C8*$D$2</f>
        <v>22078.6826736</v>
      </c>
      <c r="E8" s="638">
        <v>42383</v>
      </c>
      <c r="F8" s="636">
        <f>+E8+60</f>
        <v>42443</v>
      </c>
    </row>
    <row r="9" spans="1:6">
      <c r="A9" s="632" t="s">
        <v>760</v>
      </c>
      <c r="B9" s="633" t="s">
        <v>419</v>
      </c>
      <c r="C9" s="634">
        <v>10975.97</v>
      </c>
      <c r="D9" s="634">
        <f>C9*$D$2</f>
        <v>24324.1763961</v>
      </c>
      <c r="E9" s="638">
        <v>42384</v>
      </c>
      <c r="F9" s="636">
        <f>+E9+60</f>
        <v>42444</v>
      </c>
    </row>
    <row r="10" spans="1:6" ht="12.75" thickBot="1">
      <c r="A10" s="639" t="s">
        <v>923</v>
      </c>
      <c r="B10" s="640" t="s">
        <v>419</v>
      </c>
      <c r="C10" s="641">
        <v>8112.24</v>
      </c>
      <c r="D10" s="641">
        <f>C10*$D$2</f>
        <v>17977.7784312</v>
      </c>
      <c r="E10" s="642">
        <v>42398</v>
      </c>
      <c r="F10" s="643">
        <f>+E10+60</f>
        <v>42458</v>
      </c>
    </row>
    <row r="11" spans="1:6" s="620" customFormat="1" ht="12.75" thickBot="1">
      <c r="A11" s="728" t="s">
        <v>480</v>
      </c>
      <c r="B11" s="729"/>
      <c r="C11" s="622">
        <f>SUM(C7:C10)</f>
        <v>31881.649999999994</v>
      </c>
      <c r="D11" s="623"/>
      <c r="E11" s="624"/>
      <c r="F11" s="624"/>
    </row>
    <row r="12" spans="1:6" ht="12.75" thickBot="1">
      <c r="A12" s="644" t="s">
        <v>643</v>
      </c>
      <c r="B12" s="645" t="s">
        <v>419</v>
      </c>
      <c r="C12" s="646">
        <v>9453.2800000000007</v>
      </c>
      <c r="D12" s="646">
        <f>C12*$D$2</f>
        <v>20949.697406400002</v>
      </c>
      <c r="E12" s="647">
        <v>42361</v>
      </c>
      <c r="F12" s="648">
        <f>+E12+90</f>
        <v>42451</v>
      </c>
    </row>
    <row r="13" spans="1:6" ht="12.75" thickBot="1">
      <c r="A13" s="730" t="s">
        <v>480</v>
      </c>
      <c r="B13" s="731"/>
      <c r="C13" s="621">
        <f>SUM(C12:C12)</f>
        <v>9453.2800000000007</v>
      </c>
    </row>
    <row r="14" spans="1:6" ht="12.75" thickBot="1"/>
    <row r="15" spans="1:6" ht="12.75" thickBot="1">
      <c r="A15" s="732" t="s">
        <v>768</v>
      </c>
      <c r="B15" s="733"/>
      <c r="C15" s="733"/>
      <c r="D15" s="733"/>
      <c r="E15" s="733"/>
      <c r="F15" s="734"/>
    </row>
    <row r="16" spans="1:6" ht="12.75" thickBot="1">
      <c r="A16" s="607" t="s">
        <v>429</v>
      </c>
      <c r="B16" s="608" t="s">
        <v>428</v>
      </c>
      <c r="C16" s="608" t="s">
        <v>427</v>
      </c>
      <c r="D16" s="608" t="s">
        <v>426</v>
      </c>
      <c r="E16" s="608" t="s">
        <v>424</v>
      </c>
      <c r="F16" s="609" t="s">
        <v>423</v>
      </c>
    </row>
    <row r="17" spans="1:6">
      <c r="A17" s="627" t="s">
        <v>649</v>
      </c>
      <c r="B17" s="628" t="s">
        <v>419</v>
      </c>
      <c r="C17" s="629">
        <v>22432.16</v>
      </c>
      <c r="D17" s="629">
        <f t="shared" ref="D17:D31" si="0">C17*$D$2</f>
        <v>49712.582740800004</v>
      </c>
      <c r="E17" s="630">
        <v>42327</v>
      </c>
      <c r="F17" s="631">
        <f>+E17+60</f>
        <v>42387</v>
      </c>
    </row>
    <row r="18" spans="1:6">
      <c r="A18" s="632" t="s">
        <v>653</v>
      </c>
      <c r="B18" s="633" t="s">
        <v>419</v>
      </c>
      <c r="C18" s="634">
        <v>14170.6</v>
      </c>
      <c r="D18" s="634">
        <f t="shared" si="0"/>
        <v>31403.891778000005</v>
      </c>
      <c r="E18" s="635">
        <v>42349</v>
      </c>
      <c r="F18" s="636">
        <f>E18+60</f>
        <v>42409</v>
      </c>
    </row>
    <row r="19" spans="1:6">
      <c r="A19" s="632" t="s">
        <v>654</v>
      </c>
      <c r="B19" s="633" t="s">
        <v>419</v>
      </c>
      <c r="C19" s="634">
        <v>9208.11</v>
      </c>
      <c r="D19" s="634">
        <f t="shared" si="0"/>
        <v>20406.368814300004</v>
      </c>
      <c r="E19" s="635">
        <v>42349</v>
      </c>
      <c r="F19" s="636">
        <f>E19+60</f>
        <v>42409</v>
      </c>
    </row>
    <row r="20" spans="1:6">
      <c r="A20" s="632" t="s">
        <v>655</v>
      </c>
      <c r="B20" s="633" t="s">
        <v>419</v>
      </c>
      <c r="C20" s="634">
        <v>13840.98</v>
      </c>
      <c r="D20" s="634">
        <f t="shared" si="0"/>
        <v>30673.411007400002</v>
      </c>
      <c r="E20" s="635">
        <v>42355</v>
      </c>
      <c r="F20" s="636">
        <f>E20+60</f>
        <v>42415</v>
      </c>
    </row>
    <row r="21" spans="1:6">
      <c r="A21" s="632" t="s">
        <v>656</v>
      </c>
      <c r="B21" s="633" t="s">
        <v>419</v>
      </c>
      <c r="C21" s="634">
        <v>18373.14</v>
      </c>
      <c r="D21" s="634">
        <f t="shared" si="0"/>
        <v>40717.266748200003</v>
      </c>
      <c r="E21" s="635">
        <v>42356</v>
      </c>
      <c r="F21" s="636">
        <f>E21+60</f>
        <v>42416</v>
      </c>
    </row>
    <row r="22" spans="1:6">
      <c r="A22" s="632" t="s">
        <v>714</v>
      </c>
      <c r="B22" s="633" t="s">
        <v>419</v>
      </c>
      <c r="C22" s="634">
        <v>17363.88</v>
      </c>
      <c r="D22" s="634">
        <f t="shared" si="0"/>
        <v>38480.615384400007</v>
      </c>
      <c r="E22" s="635">
        <v>42359</v>
      </c>
      <c r="F22" s="636">
        <f>+E22+60</f>
        <v>42419</v>
      </c>
    </row>
    <row r="23" spans="1:6">
      <c r="A23" s="632" t="s">
        <v>715</v>
      </c>
      <c r="B23" s="633" t="s">
        <v>419</v>
      </c>
      <c r="C23" s="634">
        <v>9460.14</v>
      </c>
      <c r="D23" s="634">
        <f t="shared" si="0"/>
        <v>20964.900058200001</v>
      </c>
      <c r="E23" s="635">
        <v>42361</v>
      </c>
      <c r="F23" s="636">
        <f>+E23+60</f>
        <v>42421</v>
      </c>
    </row>
    <row r="24" spans="1:6">
      <c r="A24" s="632" t="s">
        <v>712</v>
      </c>
      <c r="B24" s="633" t="s">
        <v>419</v>
      </c>
      <c r="C24" s="634">
        <v>11713.11</v>
      </c>
      <c r="D24" s="634">
        <f t="shared" si="0"/>
        <v>25957.774464300004</v>
      </c>
      <c r="E24" s="635">
        <v>42367</v>
      </c>
      <c r="F24" s="636">
        <f>E24+60</f>
        <v>42427</v>
      </c>
    </row>
    <row r="25" spans="1:6">
      <c r="A25" s="610" t="s">
        <v>766</v>
      </c>
      <c r="B25" s="611" t="s">
        <v>419</v>
      </c>
      <c r="C25" s="612">
        <v>8951.85</v>
      </c>
      <c r="D25" s="612">
        <f t="shared" si="0"/>
        <v>19838.463340500002</v>
      </c>
      <c r="E25" s="618">
        <v>42376</v>
      </c>
      <c r="F25" s="613">
        <f>+E25+60</f>
        <v>42436</v>
      </c>
    </row>
    <row r="26" spans="1:6">
      <c r="A26" s="610" t="s">
        <v>763</v>
      </c>
      <c r="B26" s="611" t="s">
        <v>419</v>
      </c>
      <c r="C26" s="612">
        <v>8150.27</v>
      </c>
      <c r="D26" s="612">
        <f t="shared" si="0"/>
        <v>18062.057855100004</v>
      </c>
      <c r="E26" s="618">
        <v>42381</v>
      </c>
      <c r="F26" s="613">
        <f>+E26+60</f>
        <v>42441</v>
      </c>
    </row>
    <row r="27" spans="1:6">
      <c r="A27" s="610" t="s">
        <v>762</v>
      </c>
      <c r="B27" s="611" t="s">
        <v>419</v>
      </c>
      <c r="C27" s="612">
        <v>15057.42</v>
      </c>
      <c r="D27" s="612">
        <f t="shared" si="0"/>
        <v>33369.200184600006</v>
      </c>
      <c r="E27" s="618">
        <v>42383</v>
      </c>
      <c r="F27" s="613">
        <f>E27+60</f>
        <v>42443</v>
      </c>
    </row>
    <row r="28" spans="1:6">
      <c r="A28" s="610" t="s">
        <v>916</v>
      </c>
      <c r="B28" s="611" t="s">
        <v>419</v>
      </c>
      <c r="C28" s="612">
        <v>9735.57</v>
      </c>
      <c r="D28" s="612">
        <f t="shared" si="0"/>
        <v>21575.288744100002</v>
      </c>
      <c r="E28" s="618">
        <v>42389</v>
      </c>
      <c r="F28" s="613">
        <f>E28+60</f>
        <v>42449</v>
      </c>
    </row>
    <row r="29" spans="1:6">
      <c r="A29" s="610" t="s">
        <v>917</v>
      </c>
      <c r="B29" s="611" t="s">
        <v>419</v>
      </c>
      <c r="C29" s="612">
        <v>23042.01</v>
      </c>
      <c r="D29" s="612">
        <f t="shared" si="0"/>
        <v>51064.089621300001</v>
      </c>
      <c r="E29" s="618">
        <v>42390</v>
      </c>
      <c r="F29" s="613">
        <f>E29+60</f>
        <v>42450</v>
      </c>
    </row>
    <row r="30" spans="1:6">
      <c r="A30" s="610" t="s">
        <v>915</v>
      </c>
      <c r="B30" s="611" t="s">
        <v>419</v>
      </c>
      <c r="C30" s="612">
        <v>14309.73</v>
      </c>
      <c r="D30" s="612">
        <f t="shared" si="0"/>
        <v>31712.2219449</v>
      </c>
      <c r="E30" s="618">
        <v>42391</v>
      </c>
      <c r="F30" s="613">
        <f>E30+60</f>
        <v>42451</v>
      </c>
    </row>
    <row r="31" spans="1:6" ht="12.75" thickBot="1">
      <c r="A31" s="614" t="s">
        <v>918</v>
      </c>
      <c r="B31" s="615" t="s">
        <v>419</v>
      </c>
      <c r="C31" s="616">
        <v>11302.91</v>
      </c>
      <c r="D31" s="616">
        <f t="shared" si="0"/>
        <v>25048.7179383</v>
      </c>
      <c r="E31" s="619">
        <v>42398</v>
      </c>
      <c r="F31" s="617">
        <f>E31+60</f>
        <v>42458</v>
      </c>
    </row>
    <row r="32" spans="1:6" s="620" customFormat="1" ht="12.75" thickBot="1">
      <c r="A32" s="728" t="s">
        <v>480</v>
      </c>
      <c r="B32" s="729"/>
      <c r="C32" s="622">
        <f>SUM(C17:C31)</f>
        <v>207111.88000000006</v>
      </c>
      <c r="D32" s="623"/>
      <c r="E32" s="624"/>
      <c r="F32" s="624"/>
    </row>
    <row r="33" spans="1:6" ht="12.75" thickBot="1">
      <c r="A33" s="644" t="s">
        <v>651</v>
      </c>
      <c r="B33" s="645" t="s">
        <v>419</v>
      </c>
      <c r="C33" s="646">
        <f>11032.82+660</f>
        <v>11692.82</v>
      </c>
      <c r="D33" s="646">
        <f>C33*$D$2</f>
        <v>25912.8091866</v>
      </c>
      <c r="E33" s="649">
        <v>42353</v>
      </c>
      <c r="F33" s="648">
        <f>E33+90</f>
        <v>42443</v>
      </c>
    </row>
    <row r="34" spans="1:6" s="620" customFormat="1" ht="12.75" thickBot="1">
      <c r="A34" s="728" t="s">
        <v>480</v>
      </c>
      <c r="B34" s="729"/>
      <c r="C34" s="622">
        <f>SUM(C33:C33)</f>
        <v>11692.82</v>
      </c>
      <c r="D34" s="623"/>
      <c r="E34" s="624"/>
      <c r="F34" s="624"/>
    </row>
    <row r="35" spans="1:6" ht="12.75" thickBot="1">
      <c r="A35" s="644" t="s">
        <v>650</v>
      </c>
      <c r="B35" s="645" t="s">
        <v>419</v>
      </c>
      <c r="C35" s="646">
        <v>38217.11</v>
      </c>
      <c r="D35" s="646">
        <f>C35*$D$2</f>
        <v>84694.083984300014</v>
      </c>
      <c r="E35" s="649">
        <v>42361</v>
      </c>
      <c r="F35" s="648">
        <f>E35+90</f>
        <v>42451</v>
      </c>
    </row>
    <row r="36" spans="1:6" s="620" customFormat="1" ht="12.75" thickBot="1">
      <c r="A36" s="728" t="s">
        <v>480</v>
      </c>
      <c r="B36" s="729"/>
      <c r="C36" s="622">
        <f>SUM(C35:C35)</f>
        <v>38217.11</v>
      </c>
      <c r="D36" s="623"/>
      <c r="E36" s="624"/>
      <c r="F36" s="624"/>
    </row>
    <row r="37" spans="1:6">
      <c r="A37" s="627" t="s">
        <v>765</v>
      </c>
      <c r="B37" s="628" t="s">
        <v>419</v>
      </c>
      <c r="C37" s="629">
        <v>5045</v>
      </c>
      <c r="D37" s="629">
        <f>C37*$D$2</f>
        <v>11180.37585</v>
      </c>
      <c r="E37" s="630">
        <v>42377</v>
      </c>
      <c r="F37" s="631">
        <f>+E37+30</f>
        <v>42407</v>
      </c>
    </row>
    <row r="38" spans="1:6">
      <c r="A38" s="632" t="s">
        <v>764</v>
      </c>
      <c r="B38" s="633" t="s">
        <v>419</v>
      </c>
      <c r="C38" s="634">
        <v>8775.57</v>
      </c>
      <c r="D38" s="634">
        <f>C38*$D$2</f>
        <v>19447.8039441</v>
      </c>
      <c r="E38" s="635">
        <v>42380</v>
      </c>
      <c r="F38" s="636">
        <f>+E38+30</f>
        <v>42410</v>
      </c>
    </row>
    <row r="39" spans="1:6">
      <c r="A39" s="632" t="s">
        <v>931</v>
      </c>
      <c r="B39" s="633" t="s">
        <v>419</v>
      </c>
      <c r="C39" s="634">
        <v>24761.040000000001</v>
      </c>
      <c r="D39" s="634">
        <f>C39*$D$2</f>
        <v>54873.683575200004</v>
      </c>
      <c r="E39" s="635">
        <v>42418</v>
      </c>
      <c r="F39" s="636">
        <f>+E39+30</f>
        <v>42448</v>
      </c>
    </row>
    <row r="40" spans="1:6" ht="12.75" thickBot="1">
      <c r="A40" s="639" t="s">
        <v>932</v>
      </c>
      <c r="B40" s="640" t="s">
        <v>419</v>
      </c>
      <c r="C40" s="641">
        <v>5820.47</v>
      </c>
      <c r="D40" s="641">
        <f>C40*$D$2</f>
        <v>12898.918181100002</v>
      </c>
      <c r="E40" s="650">
        <v>42430</v>
      </c>
      <c r="F40" s="643">
        <f>+E40+30</f>
        <v>42460</v>
      </c>
    </row>
    <row r="41" spans="1:6" s="620" customFormat="1" ht="12.75" thickBot="1">
      <c r="A41" s="728" t="s">
        <v>480</v>
      </c>
      <c r="B41" s="729"/>
      <c r="C41" s="622">
        <f>SUM(C37:C40)</f>
        <v>44402.080000000002</v>
      </c>
      <c r="D41" s="625"/>
      <c r="E41" s="626"/>
      <c r="F41" s="626"/>
    </row>
    <row r="42" spans="1:6">
      <c r="A42" s="651" t="s">
        <v>943</v>
      </c>
      <c r="B42" s="652" t="s">
        <v>419</v>
      </c>
      <c r="C42" s="662">
        <v>123185.69</v>
      </c>
      <c r="D42" s="653">
        <f t="shared" ref="D42:D43" si="1">C42*$D$2</f>
        <v>272995.5031797</v>
      </c>
      <c r="E42" s="652"/>
      <c r="F42" s="654"/>
    </row>
    <row r="43" spans="1:6" ht="12.75" thickBot="1">
      <c r="A43" s="655" t="s">
        <v>944</v>
      </c>
      <c r="B43" s="656" t="s">
        <v>419</v>
      </c>
      <c r="C43" s="663">
        <v>81605.67</v>
      </c>
      <c r="D43" s="616">
        <f t="shared" si="1"/>
        <v>180848.7734571</v>
      </c>
      <c r="E43" s="656"/>
      <c r="F43" s="657"/>
    </row>
    <row r="44" spans="1:6" s="620" customFormat="1" ht="12.75" thickBot="1">
      <c r="A44" s="728" t="s">
        <v>480</v>
      </c>
      <c r="B44" s="729"/>
      <c r="C44" s="622">
        <f>SUM(C42:C43)</f>
        <v>204791.36</v>
      </c>
      <c r="D44" s="625"/>
      <c r="E44" s="626"/>
      <c r="F44" s="626"/>
    </row>
    <row r="45" spans="1:6" ht="12.75" thickBot="1">
      <c r="A45" s="658" t="s">
        <v>945</v>
      </c>
      <c r="B45" s="659" t="s">
        <v>460</v>
      </c>
      <c r="C45" s="660">
        <v>151497.15</v>
      </c>
      <c r="D45" s="660">
        <f>+C45*D3</f>
        <v>309166.29389099998</v>
      </c>
      <c r="E45" s="659"/>
      <c r="F45" s="661"/>
    </row>
    <row r="46" spans="1:6" s="620" customFormat="1" ht="12.75" thickBot="1">
      <c r="A46" s="730" t="s">
        <v>480</v>
      </c>
      <c r="B46" s="731"/>
      <c r="C46" s="621">
        <f>SUM(C45:C45)</f>
        <v>151497.15</v>
      </c>
      <c r="D46" s="625"/>
      <c r="E46" s="626"/>
      <c r="F46" s="626"/>
    </row>
  </sheetData>
  <sortState ref="A37:F40">
    <sortCondition ref="F37:F40"/>
  </sortState>
  <mergeCells count="10">
    <mergeCell ref="A44:B44"/>
    <mergeCell ref="A46:B46"/>
    <mergeCell ref="A41:B41"/>
    <mergeCell ref="A13:B13"/>
    <mergeCell ref="A5:F5"/>
    <mergeCell ref="A15:F15"/>
    <mergeCell ref="A11:B11"/>
    <mergeCell ref="A32:B32"/>
    <mergeCell ref="A34:B34"/>
    <mergeCell ref="A36:B36"/>
  </mergeCells>
  <pageMargins left="0.7" right="0.7" top="0.75" bottom="0.75" header="0.3" footer="0.3"/>
  <pageSetup paperSize="9" orientation="portrait" horizontalDpi="180" verticalDpi="180" r:id="rId1"/>
  <ignoredErrors>
    <ignoredError sqref="A15:F16 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13</vt:i4>
      </vt:variant>
    </vt:vector>
  </HeadingPairs>
  <TitlesOfParts>
    <vt:vector size="30" baseType="lpstr">
      <vt:lpstr>02-2016</vt:lpstr>
      <vt:lpstr>03-2016</vt:lpstr>
      <vt:lpstr>04-2016</vt:lpstr>
      <vt:lpstr>05-2016</vt:lpstr>
      <vt:lpstr>06-2016</vt:lpstr>
      <vt:lpstr>CT</vt:lpstr>
      <vt:lpstr>TR</vt:lpstr>
      <vt:lpstr>FED</vt:lpstr>
      <vt:lpstr>Etranger</vt:lpstr>
      <vt:lpstr>CMT</vt:lpstr>
      <vt:lpstr>EXPORT</vt:lpstr>
      <vt:lpstr>HAZEM 16</vt:lpstr>
      <vt:lpstr>HAZEM</vt:lpstr>
      <vt:lpstr>Feuil1</vt:lpstr>
      <vt:lpstr>Feuil2</vt:lpstr>
      <vt:lpstr>Feuil3</vt:lpstr>
      <vt:lpstr>Feuil4</vt:lpstr>
      <vt:lpstr>'02-2016'!Zone_d_impression</vt:lpstr>
      <vt:lpstr>'03-2016'!Zone_d_impression</vt:lpstr>
      <vt:lpstr>'04-2016'!Zone_d_impression</vt:lpstr>
      <vt:lpstr>'05-2016'!Zone_d_impression</vt:lpstr>
      <vt:lpstr>'06-2016'!Zone_d_impression</vt:lpstr>
      <vt:lpstr>CMT!Zone_d_impression</vt:lpstr>
      <vt:lpstr>Etranger!Zone_d_impression</vt:lpstr>
      <vt:lpstr>EXPORT!Zone_d_impression</vt:lpstr>
      <vt:lpstr>FED!Zone_d_impression</vt:lpstr>
      <vt:lpstr>Feuil1!Zone_d_impression</vt:lpstr>
      <vt:lpstr>Feuil4!Zone_d_impression</vt:lpstr>
      <vt:lpstr>HAZEM!Zone_d_impression</vt:lpstr>
      <vt:lpstr>'HAZEM 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2016-09-15T10:12:48Z</cp:lastPrinted>
  <dcterms:created xsi:type="dcterms:W3CDTF">2015-11-20T11:41:43Z</dcterms:created>
  <dcterms:modified xsi:type="dcterms:W3CDTF">2016-09-15T10:12:55Z</dcterms:modified>
</cp:coreProperties>
</file>